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85" windowWidth="10005" windowHeight="11640" tabRatio="875" activeTab="13"/>
  </bookViews>
  <sheets>
    <sheet name="Toelichting" sheetId="1" r:id="rId1"/>
    <sheet name="x-factor" sheetId="2" r:id="rId2"/>
    <sheet name="Eindinkomsten" sheetId="3" r:id="rId3"/>
    <sheet name="Productiviteit" sheetId="4" r:id="rId4"/>
    <sheet name="Kosten" sheetId="5" r:id="rId5"/>
    <sheet name="SO" sheetId="6" r:id="rId6"/>
    <sheet name="Wegingsfactor" sheetId="7" r:id="rId7"/>
    <sheet name="Rekenvol" sheetId="8" r:id="rId8"/>
    <sheet name="Volumes" sheetId="9" r:id="rId9"/>
    <sheet name="ORV" sheetId="10" r:id="rId10"/>
    <sheet name="Omzetting capaciteitstarief" sheetId="11" r:id="rId11"/>
    <sheet name="EAV" sheetId="12" r:id="rId12"/>
    <sheet name="PAV" sheetId="13" r:id="rId13"/>
    <sheet name="CPI en WACC" sheetId="14" r:id="rId14"/>
  </sheets>
  <definedNames>
    <definedName name="beta0">'ORV'!$D$108</definedName>
    <definedName name="beta1">'ORV'!$D$109</definedName>
    <definedName name="CPI2001">'CPI en WACC'!$C$7</definedName>
    <definedName name="CPI2002">'CPI en WACC'!$C$8</definedName>
    <definedName name="CPI2003">'CPI en WACC'!$C$9</definedName>
    <definedName name="CPI2004">'CPI en WACC'!$C$10</definedName>
    <definedName name="CPI2005">'CPI en WACC'!$C$11</definedName>
    <definedName name="CPI2006">'CPI en WACC'!$C$12</definedName>
    <definedName name="CPI2007">'CPI en WACC'!$C$13</definedName>
    <definedName name="CPI2008">'CPI en WACC'!$C$14</definedName>
    <definedName name="CPI2009">'CPI en WACC'!$C$15</definedName>
    <definedName name="CPI2010">'CPI en WACC'!$C$16</definedName>
    <definedName name="CPIv2000n2001">'CPI en WACC'!$C$22</definedName>
    <definedName name="CPIv2000n2002">'CPI en WACC'!$C$23</definedName>
    <definedName name="CPIv2000n2003">'CPI en WACC'!$C$24</definedName>
    <definedName name="CPIv2000n2004">'CPI en WACC'!$C$25</definedName>
    <definedName name="CPIv2000n2005">'CPI en WACC'!$C$26</definedName>
    <definedName name="CPIv2000n2006">'CPI en WACC'!$C$27</definedName>
    <definedName name="CPIv2000n2007">'CPI en WACC'!$C$28</definedName>
    <definedName name="CPIv2000n2008">'CPI en WACC'!$C$29</definedName>
    <definedName name="CPIv2000n2009">'CPI en WACC'!$C$30</definedName>
    <definedName name="CPIv2000n2010">'CPI en WACC'!$C$31</definedName>
    <definedName name="CPIv2001n2002">'CPI en WACC'!$D$23</definedName>
    <definedName name="CPIv2001n2003">'CPI en WACC'!$D$24</definedName>
    <definedName name="CPIv2001n2004">'CPI en WACC'!$D$25</definedName>
    <definedName name="CPIv2001n2005">'CPI en WACC'!$D$26</definedName>
    <definedName name="CPIv2001n2006">'CPI en WACC'!$D$27</definedName>
    <definedName name="CPIv2001n2007">'CPI en WACC'!$D$28</definedName>
    <definedName name="CPIv2001n2008">'CPI en WACC'!$D$29</definedName>
    <definedName name="CPIv2001n2009">'CPI en WACC'!$D$30</definedName>
    <definedName name="CPIv2001n2010">'CPI en WACC'!$D$31</definedName>
    <definedName name="CPIv2002n2003">'CPI en WACC'!$E$24</definedName>
    <definedName name="CPIv2002n2004">'CPI en WACC'!$E$25</definedName>
    <definedName name="CPIv2002n2005">'CPI en WACC'!$E$26</definedName>
    <definedName name="CPIv2002n2006">'CPI en WACC'!$E$27</definedName>
    <definedName name="CPIv2002n2007">'CPI en WACC'!$E$28</definedName>
    <definedName name="CPIv2002n2008">'CPI en WACC'!$E$29</definedName>
    <definedName name="CPIv2002n2009">'CPI en WACC'!$E$30</definedName>
    <definedName name="CPIv2002n2010">'CPI en WACC'!$E$31</definedName>
    <definedName name="CPIv2003n2004">'CPI en WACC'!$F$25</definedName>
    <definedName name="CPIv2003n2005">'CPI en WACC'!$F$26</definedName>
    <definedName name="CPIv2003n2006">'CPI en WACC'!$F$27</definedName>
    <definedName name="CPIv2003n2007">'CPI en WACC'!$F$28</definedName>
    <definedName name="CPIv2003n2008">'CPI en WACC'!$F$29</definedName>
    <definedName name="CPIv2003n2009">'CPI en WACC'!$F$30</definedName>
    <definedName name="CPIv2003n2010">'CPI en WACC'!$F$31</definedName>
    <definedName name="CPIv2004n2005">'CPI en WACC'!$G$26</definedName>
    <definedName name="CPIv2004n2006">'CPI en WACC'!$G$27</definedName>
    <definedName name="CPIv2004n2007">'CPI en WACC'!$G$28</definedName>
    <definedName name="CPIv2004n2008">'CPI en WACC'!$G$29</definedName>
    <definedName name="CPIv2004n2009">'CPI en WACC'!$G$30</definedName>
    <definedName name="CPIv2004n2010">'CPI en WACC'!$G$31</definedName>
    <definedName name="CPIv2005n2006">'CPI en WACC'!$H$27</definedName>
    <definedName name="CPIv2005n2007">'CPI en WACC'!$H$28</definedName>
    <definedName name="CPIv2005n2008">'CPI en WACC'!$H$29</definedName>
    <definedName name="CPIv2005n2009">'CPI en WACC'!$H$30</definedName>
    <definedName name="CPIv2005n2010">'CPI en WACC'!$H$31</definedName>
    <definedName name="CPIv2006n2007">'CPI en WACC'!$I$28</definedName>
    <definedName name="CPIv2006n2008">'CPI en WACC'!$I$29</definedName>
    <definedName name="CPIv2006n2009">'CPI en WACC'!$I$30</definedName>
    <definedName name="CPIv2006n2010">'CPI en WACC'!$I$31</definedName>
    <definedName name="CPIv2007n2008">'CPI en WACC'!$J$29</definedName>
    <definedName name="CPIv2007n2009">'CPI en WACC'!$J$30</definedName>
    <definedName name="CPIv2007n2010">'CPI en WACC'!$J$31</definedName>
    <definedName name="CPIv2008n2009">'CPI en WACC'!$K$30</definedName>
    <definedName name="CPIv2008n2010">'CPI en WACC'!$K$31</definedName>
    <definedName name="CPIv2009n2010">'CPI en WACC'!$L$31</definedName>
    <definedName name="WACC2001">'CPI en WACC'!$D$7</definedName>
    <definedName name="WACC2002">'CPI en WACC'!$D$8</definedName>
    <definedName name="WACC2003">'CPI en WACC'!$D$9</definedName>
    <definedName name="WACC2004">'CPI en WACC'!$D$10</definedName>
    <definedName name="WACC2005">'CPI en WACC'!$D$11</definedName>
    <definedName name="WACC2006">'CPI en WACC'!$D$12</definedName>
    <definedName name="WACC2007">'CPI en WACC'!$D$13</definedName>
    <definedName name="WACC2008">'CPI en WACC'!$D$14</definedName>
    <definedName name="WACC2009">'CPI en WACC'!$D$15</definedName>
    <definedName name="WACC2010">'CPI en WACC'!$D$16</definedName>
    <definedName name="WACC2011">'CPI en WACC'!$D$17</definedName>
  </definedNames>
  <calcPr fullCalcOnLoad="1"/>
</workbook>
</file>

<file path=xl/comments10.xml><?xml version="1.0" encoding="utf-8"?>
<comments xmlns="http://schemas.openxmlformats.org/spreadsheetml/2006/main">
  <authors>
    <author>Paul Adriaansen</author>
  </authors>
  <commentList>
    <comment ref="B94" authorId="0">
      <text>
        <r>
          <rPr>
            <sz val="8"/>
            <rFont val="Tahoma"/>
            <family val="2"/>
          </rPr>
          <t>Onder de veronderstelling dat zowel lokale heffingen als waterkruisingen kwalificeren als ORV. Deze toets wordt uitgevoerd op data over 2009</t>
        </r>
      </text>
    </comment>
  </commentList>
</comments>
</file>

<file path=xl/comments13.xml><?xml version="1.0" encoding="utf-8"?>
<comments xmlns="http://schemas.openxmlformats.org/spreadsheetml/2006/main">
  <authors>
    <author>Buys-Trimp</author>
  </authors>
  <commentList>
    <comment ref="L93" authorId="0">
      <text>
        <r>
          <rPr>
            <sz val="8"/>
            <rFont val="Tahoma"/>
            <family val="0"/>
          </rPr>
          <t>gewogen gemiddelde van EMIX en EWUZ</t>
        </r>
      </text>
    </comment>
  </commentList>
</comments>
</file>

<file path=xl/comments2.xml><?xml version="1.0" encoding="utf-8"?>
<comments xmlns="http://schemas.openxmlformats.org/spreadsheetml/2006/main">
  <authors>
    <author>Paul Adriaansen</author>
  </authors>
  <commentList>
    <comment ref="K2" authorId="0">
      <text>
        <r>
          <rPr>
            <b/>
            <sz val="8"/>
            <rFont val="Tahoma"/>
            <family val="0"/>
          </rPr>
          <t>Incl. ONS</t>
        </r>
      </text>
    </comment>
  </commentList>
</comments>
</file>

<file path=xl/comments5.xml><?xml version="1.0" encoding="utf-8"?>
<comments xmlns="http://schemas.openxmlformats.org/spreadsheetml/2006/main">
  <authors>
    <author>Paul Adriaansen</author>
  </authors>
  <commentList>
    <comment ref="K2" authorId="0">
      <text>
        <r>
          <rPr>
            <b/>
            <sz val="8"/>
            <rFont val="Tahoma"/>
            <family val="0"/>
          </rPr>
          <t>Incl. ONS</t>
        </r>
      </text>
    </comment>
    <comment ref="B86" authorId="0">
      <text>
        <r>
          <rPr>
            <b/>
            <sz val="8"/>
            <rFont val="Tahoma"/>
            <family val="0"/>
          </rPr>
          <t>nog geen data beschikbaar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<sst xmlns="http://schemas.openxmlformats.org/spreadsheetml/2006/main" count="4302" uniqueCount="591">
  <si>
    <t>Gestandaardiseerde economische kosten 2009 (t.b.v. productiviteit)</t>
  </si>
  <si>
    <t>Gestandaardiseerde economische kosten 2009 (excl. EAV)</t>
  </si>
  <si>
    <t>Inkomsten uit EAV t/m 25 meter</t>
  </si>
  <si>
    <t>Inkomsten uit EAV &gt; 25 meter</t>
  </si>
  <si>
    <t>Gestandaardiseerde economische kosten 2009 (incl. EAV)</t>
  </si>
  <si>
    <t>Berekening invoedingspercentages</t>
  </si>
  <si>
    <t>Efficiente kosten 2013</t>
  </si>
  <si>
    <t>ORV 2013</t>
  </si>
  <si>
    <t>t/m 3*25A + alle 1-fase aansluitingen1</t>
  </si>
  <si>
    <t>Kabel- en lijngerelateerde kosten</t>
  </si>
  <si>
    <t>Niet-kabel- en lijngerelateerde kosten</t>
  </si>
  <si>
    <t>Toelichting</t>
  </si>
  <si>
    <t>De Energiekamer publiceert deze berekening om het rekenmodel uit genoemd ontwerp-besluit toe te lichten.</t>
  </si>
  <si>
    <t>Als u vragen heeft over of opmerkingen op de in dit bestand gepresenteerde berekeningen, dan kunt u deze per e-mail</t>
  </si>
  <si>
    <t>versturen naar EK-Regulering@NManet.nl</t>
  </si>
  <si>
    <t>Legenda celkleuren</t>
  </si>
  <si>
    <t>Brondata</t>
  </si>
  <si>
    <t>Berekende waarde</t>
  </si>
  <si>
    <t>Berekende waarde en tevens resultaat</t>
  </si>
  <si>
    <t>€, prijspeil 2010</t>
  </si>
  <si>
    <t>€, prijspeil 2009</t>
  </si>
  <si>
    <t>%</t>
  </si>
  <si>
    <t>Inkoopkosten transport (IT) 2006</t>
  </si>
  <si>
    <t>Inkoopkosten transport (IT) 2007</t>
  </si>
  <si>
    <t>Gestandaardiseerde Economische Kosten 2007 excl ORV en IT</t>
  </si>
  <si>
    <t>Gestandaardiseerde Economische Kosten 2008 excl ORV en IT</t>
  </si>
  <si>
    <t>Gestandaardiseerde Economische Kosten 2009 excl ORV en IT</t>
  </si>
  <si>
    <t>Inkoopkosten transport (IT) 2008</t>
  </si>
  <si>
    <t>Inkoopkosten transport (IT) 2009</t>
  </si>
  <si>
    <t>DNWB</t>
  </si>
  <si>
    <t>WESTLAND</t>
  </si>
  <si>
    <t>Boekwaarde activa ultimo 2006</t>
  </si>
  <si>
    <t>WACC 2011 * Boekwaarde activa ultimo 2006</t>
  </si>
  <si>
    <t>Boekwaarde activa ultimo 2007</t>
  </si>
  <si>
    <t>WACC 2011 * Boekwaarde activa ultimo 2007</t>
  </si>
  <si>
    <t>Boekwaarde activa ultimo 2008</t>
  </si>
  <si>
    <t>WACC 2011 * Boekwaarde activa ultimo 2008</t>
  </si>
  <si>
    <t>Boekwaarde activa ultimo 2009</t>
  </si>
  <si>
    <t>WACC 2011 * Boekwaarde activa ultimo 2009</t>
  </si>
  <si>
    <t>WACC 2009* Boekwaarde Activa ultimo 2009</t>
  </si>
  <si>
    <t>WACC 2011 * Boekwaarde activa KLGK ultimo 2009</t>
  </si>
  <si>
    <t>Boekwaarde activa KLGK utimo 2009</t>
  </si>
  <si>
    <t>€, prijspeil 2006</t>
  </si>
  <si>
    <t>€, prijspeil 2007</t>
  </si>
  <si>
    <t>€, prijspeil 2008</t>
  </si>
  <si>
    <t>€</t>
  </si>
  <si>
    <t>€ '000, prijspeil 2000</t>
  </si>
  <si>
    <t>€ '000, prijspeil 2003</t>
  </si>
  <si>
    <t>Afgekochte precario ultimo 2003</t>
  </si>
  <si>
    <t xml:space="preserve">Afgekochte precario ultimo 2000 </t>
  </si>
  <si>
    <t>Gestandaardiseerde afschrijving over 18jr</t>
  </si>
  <si>
    <t>Gestandaardiseerde afschrijving over 20 jr</t>
  </si>
  <si>
    <t>€ '000, prijspeil 2006</t>
  </si>
  <si>
    <t>GAW afgekochte precario ultimo 2006</t>
  </si>
  <si>
    <t xml:space="preserve">Afschrijvingen precario </t>
  </si>
  <si>
    <t>Kapitaalkosten afgeschreven precario (obv WACC 2011)</t>
  </si>
  <si>
    <t xml:space="preserve">Kosten lokale heffingen 2006 </t>
  </si>
  <si>
    <t>€ '000, prijspeil 2007</t>
  </si>
  <si>
    <t>Kosten lokale heffingen 2007</t>
  </si>
  <si>
    <t>Kosten lokale heffingen 2009</t>
  </si>
  <si>
    <t>Afschrijvingen precario</t>
  </si>
  <si>
    <t>GAW afgekochte precario ultimo 2009</t>
  </si>
  <si>
    <t>GAW afgekochte precario ultimo 2008</t>
  </si>
  <si>
    <t xml:space="preserve">Kosten lokale heffingen 2008 </t>
  </si>
  <si>
    <t xml:space="preserve">GAW afgekochte precario ultimo 2007 </t>
  </si>
  <si>
    <t>€ '000, prijspeil 2008</t>
  </si>
  <si>
    <t>€ '000, prijspeil 2009</t>
  </si>
  <si>
    <t>€ '000, prijspeil 2010</t>
  </si>
  <si>
    <t xml:space="preserve">GAW afgekochte precario ultimo 2009 </t>
  </si>
  <si>
    <t xml:space="preserve">Precario </t>
  </si>
  <si>
    <t>OPEX Waterkruisingen</t>
  </si>
  <si>
    <t xml:space="preserve">Boekwaarde activa </t>
  </si>
  <si>
    <t>Afschrijving activa</t>
  </si>
  <si>
    <t>CAPEX Waterkruisingen, obv WACC 2011-2013</t>
  </si>
  <si>
    <t xml:space="preserve">OPEX Waterkruisingen </t>
  </si>
  <si>
    <t xml:space="preserve">Afschrijving activa </t>
  </si>
  <si>
    <t>Boekwaarde activa</t>
  </si>
  <si>
    <t>Schatting totale kosten ORV Waterkruisingen</t>
  </si>
  <si>
    <t>Schatting CAPEX (obv WACC 2011-2013)</t>
  </si>
  <si>
    <t>Schatting afschrijvingen activa</t>
  </si>
  <si>
    <t xml:space="preserve">Schatting Boekwaarde activa </t>
  </si>
  <si>
    <t>Schatting OPEX Waterkruisingen 2010</t>
  </si>
  <si>
    <t xml:space="preserve">Verwachte totale ORV-kosten 2013 </t>
  </si>
  <si>
    <t xml:space="preserve">Totale ORV-kosten 2009 </t>
  </si>
  <si>
    <t xml:space="preserve">Totale ORV-kosten 2008 </t>
  </si>
  <si>
    <t>Totale ORV-kosten 2007</t>
  </si>
  <si>
    <t>Totale ORV-kosten 2006</t>
  </si>
  <si>
    <t>#/km2</t>
  </si>
  <si>
    <t>ORV kosten 2006</t>
  </si>
  <si>
    <t>ORV kosten 2007</t>
  </si>
  <si>
    <t>ORV kosten 2008</t>
  </si>
  <si>
    <t>ORV kosten 2009</t>
  </si>
  <si>
    <t>Schatting kosten lokale heffingen 2013 (prijzen 2010)</t>
  </si>
  <si>
    <t>NE5R - Tarieven en volumes 2008</t>
  </si>
  <si>
    <t>NE5R - Tarieven en volumes 2007</t>
  </si>
  <si>
    <t>NE5R - Tarieven en volumes 2006</t>
  </si>
  <si>
    <t>NE5R - EAV t/m 25 meter - Tarieven 2010 en Volumes 2009 om gestandaardiseerde tarieven 2010 tbv wegingsfactor te berekenen</t>
  </si>
  <si>
    <t>NE5R - Tarieven 2010 en Volumes 2009 om gestandaardiseerde tarieven 2010 tbv wegingsfactor te berekenen</t>
  </si>
  <si>
    <t>NE5R - EAV &gt; 25 meter - Tarieven 2010 en Volumes 2009 om gestandaardiseerde tarieven 2010 tbv wegingsfactor te berekenen</t>
  </si>
  <si>
    <t>NE5R - EAV t/m 25 meter - Gestandaardisatie Volumes en tarieven 2009</t>
  </si>
  <si>
    <t>Omzetting capaciteitstarief</t>
  </si>
  <si>
    <t>Totaal</t>
  </si>
  <si>
    <t>t/m 3*25A + alle 1-fase aansluitingen</t>
  </si>
  <si>
    <t>(deze gestandaardiseerde volumes 2009 en tarieven 2010 worden gebruikt in 'Volumes' en 'Wegingsfactor' om de Samengestelde Output voor de EAV te berekenen)</t>
  </si>
  <si>
    <t>(elke netbeheerder heeft eigen indeling, op basis van dezelfde standaardisatie als de PAV worden hieronder de volumes voor 2009 en de tarieven voor 2010 gestandaardiseerd)</t>
  </si>
  <si>
    <t>Totale ORV-kosten LH + WK (excl. Aansluitdichtheid)</t>
  </si>
  <si>
    <t>Resultaten regressieanalyse</t>
  </si>
  <si>
    <t>Waarde marginaal effect (beta1)</t>
  </si>
  <si>
    <t>Waarde constante variabele (beta0)</t>
  </si>
  <si>
    <t>Cel (met of zonder waarde) waarmee niet verder gerekend wordt</t>
  </si>
  <si>
    <t>Aansluitdichtheid</t>
  </si>
  <si>
    <t>Schatting Kabel- en lijngerelateerde kosten per output 2009</t>
  </si>
  <si>
    <t>Totaalbedrag KLGK 2009</t>
  </si>
  <si>
    <t>Herschaling kosten per ouput op basis van werkelijk gewogen gemiddelde</t>
  </si>
  <si>
    <t>€ '000</t>
  </si>
  <si>
    <t>Specificatie Kabel- en lijngerelateerde kosten 2009</t>
  </si>
  <si>
    <t>Afschrijvingen KLGK 2009</t>
  </si>
  <si>
    <t>Afnemers HS (110-150 kV), incl. max 600 uur</t>
  </si>
  <si>
    <t>Invoeding TS (25-50 kV)</t>
  </si>
  <si>
    <t>Invoeding Trafo HS + TS/MS</t>
  </si>
  <si>
    <t>Invoeding MS (1-20 kV) - Transport</t>
  </si>
  <si>
    <t>Invoeding MS (1-20 kV) - Distributie</t>
  </si>
  <si>
    <t>Invoeding Trafo MS/LS</t>
  </si>
  <si>
    <t>Invoedingspercentage o.b.v. cascadering</t>
  </si>
  <si>
    <t>Wegingsfactoren</t>
  </si>
  <si>
    <t>Invoedingspercentage Trafo MS/LS</t>
  </si>
  <si>
    <t>Invoedingspercentage MS (1-20 kV) - Distributie</t>
  </si>
  <si>
    <t>Invoedingspercentage MS (1-20 kV) - Transport</t>
  </si>
  <si>
    <t>Invoedingspercentage Trafo HS + TS/MS</t>
  </si>
  <si>
    <t>Invoedingspercentage TS (25-50 kV)</t>
  </si>
  <si>
    <t>Gestandaardiseerde Economische Kosten 2006 excl ORV en IT</t>
  </si>
  <si>
    <t>2006 (exclusief EAV)</t>
  </si>
  <si>
    <t>2007 (exclusief EAV)</t>
  </si>
  <si>
    <t>2008 (exclusief EAV)</t>
  </si>
  <si>
    <t>2009 t.b.v. productiviteitsmeting (exclusief EAV)</t>
  </si>
  <si>
    <t>2009 t.b.v. eindinkomsten (Inclusief EAV)</t>
  </si>
  <si>
    <t>KLGK 2009 obv WACC 2011 (tbv bepaling kosten aansluitdichteid)</t>
  </si>
  <si>
    <t>Inschatting totale kosten per tarief categorie</t>
  </si>
  <si>
    <t>Inschatting totale kosten per netvlak (excl. Vastrecht)</t>
  </si>
  <si>
    <t>Samengestelde wegingsfactor incl bovenliggende netvlakken</t>
  </si>
  <si>
    <t>Inschatting van kosten voor invoeding per netvlak o.b.v. cascadering</t>
  </si>
  <si>
    <t>Afnemers TS (25-50 kV), incl. max 600 uur</t>
  </si>
  <si>
    <t>Afnemers Trafo HS+TS/MS, incl. max 600 uur</t>
  </si>
  <si>
    <t>Totale volumes kWgecontracteerd per netvlak</t>
  </si>
  <si>
    <t>x-factor</t>
  </si>
  <si>
    <t>x-factor onafgerond</t>
  </si>
  <si>
    <t>COGAS</t>
  </si>
  <si>
    <t>STEDIN</t>
  </si>
  <si>
    <t>ENEXIS</t>
  </si>
  <si>
    <t>NRE</t>
  </si>
  <si>
    <t>LIANDER</t>
  </si>
  <si>
    <t>RENDO</t>
  </si>
  <si>
    <t>Begininkomsten 2010</t>
  </si>
  <si>
    <t>TOTAAL</t>
  </si>
  <si>
    <t>Eindinkomsten 2013</t>
  </si>
  <si>
    <t>x-factor vijfde reguleringsperiode</t>
  </si>
  <si>
    <t>Eindinkomsten</t>
  </si>
  <si>
    <t>Efficiënte kosten 2010</t>
  </si>
  <si>
    <t>PV2010-2013</t>
  </si>
  <si>
    <t>Kosten 2009</t>
  </si>
  <si>
    <t>ORV 2009</t>
  </si>
  <si>
    <t>Kosten 2009 - ORV</t>
  </si>
  <si>
    <t>Productiviteitsmeting</t>
  </si>
  <si>
    <t>Kostendata</t>
  </si>
  <si>
    <t>Gestandaardiseerde Economische Kosten 2006</t>
  </si>
  <si>
    <t>Outputdata</t>
  </si>
  <si>
    <t>Productiviteitsverandering</t>
  </si>
  <si>
    <t>Gestandaardiseerde Economische Kosten 2007</t>
  </si>
  <si>
    <t>Gestandaardiseerde Economische Kosten 2008</t>
  </si>
  <si>
    <t>Gestandaardiseerde Economische Kosten 2009</t>
  </si>
  <si>
    <t>PV 2007</t>
  </si>
  <si>
    <t>PV 2008</t>
  </si>
  <si>
    <t>PV 2009</t>
  </si>
  <si>
    <t>PV2006-2009</t>
  </si>
  <si>
    <t>Gestandaardiseerde Economische Kosten</t>
  </si>
  <si>
    <t>Inkoop transport bij hoger en/of naastgelegen netbeheerder</t>
  </si>
  <si>
    <t xml:space="preserve">Inkoop energie en vermogen </t>
  </si>
  <si>
    <t>Overige inkoopkosten voor de gereguleerde activiteiten ex artikel 16</t>
  </si>
  <si>
    <t>totaal van inkopen</t>
  </si>
  <si>
    <t>Personeelskosten</t>
  </si>
  <si>
    <t>Kosten uitbesteed werk en andere externe kosten</t>
  </si>
  <si>
    <t>Bijzondere waardeverminderingen</t>
  </si>
  <si>
    <t>Kosten wettelijke reserve inzake art 16 O&amp;O-kosten</t>
  </si>
  <si>
    <t>Precario</t>
  </si>
  <si>
    <t>Overige kosten</t>
  </si>
  <si>
    <t>totaal bedrijfslasten ex afschrijvingen</t>
  </si>
  <si>
    <t>Totaal OPEX 2006 in prijzen 2006</t>
  </si>
  <si>
    <t>Tarieven</t>
  </si>
  <si>
    <t>Volumes</t>
  </si>
  <si>
    <t>ORV</t>
  </si>
  <si>
    <t>CPI en WACC</t>
  </si>
  <si>
    <t>Kapitaalkosten 2006 in prijzen 2006</t>
  </si>
  <si>
    <t>Gestandaardiseerde economische kosten 2006</t>
  </si>
  <si>
    <t>Afschrijvingen 2006</t>
  </si>
  <si>
    <t>OPEX</t>
  </si>
  <si>
    <t>ONS</t>
  </si>
  <si>
    <t>Inkoop transport bij landelijk netbeheerder</t>
  </si>
  <si>
    <t>Inkoop transport bij regionale netbeheerder</t>
  </si>
  <si>
    <t>Dotaties aan dan wel vrijval van voorzieningen</t>
  </si>
  <si>
    <t>Totaal OPEX 2006 in prijzen 2007</t>
  </si>
  <si>
    <t>Afschrijvingen 2007</t>
  </si>
  <si>
    <t>Kapitaalkosten 2007 in prijzen 2007</t>
  </si>
  <si>
    <t>Gestandaardiseerde economische kosten 2007</t>
  </si>
  <si>
    <t>Totaal OPEX 2008 in prijzen 2008</t>
  </si>
  <si>
    <t>Afschrijvingen 2008</t>
  </si>
  <si>
    <t>Kapitaalkosten 2008 in prijzen 2008</t>
  </si>
  <si>
    <t>Gestandaardiseerde economische kosten 2008</t>
  </si>
  <si>
    <t>Totaal OPEX 2009 in prijzen 2009</t>
  </si>
  <si>
    <t>Afschrijvingen 2009</t>
  </si>
  <si>
    <t>Kapitaalkosten 2009 in prijzen 2009</t>
  </si>
  <si>
    <t>Samengestelde Output</t>
  </si>
  <si>
    <t>SO2006</t>
  </si>
  <si>
    <t>SO2007</t>
  </si>
  <si>
    <t>SO2008</t>
  </si>
  <si>
    <t>SO2009</t>
  </si>
  <si>
    <t>Tarieven 2010</t>
  </si>
  <si>
    <t>Nacalculatiebedragen 2010 in prijzen 2010</t>
  </si>
  <si>
    <t>Inkomsten vastrecht 2010</t>
  </si>
  <si>
    <t>Inkomsten niet vastrecht 2010 - Nacalculatie 2010</t>
  </si>
  <si>
    <t>Tarieven 2010 gecorrigeerd voor nacalculaties</t>
  </si>
  <si>
    <t>Rekenvolumina</t>
  </si>
  <si>
    <t>CPI</t>
  </si>
  <si>
    <t>cpi-tabel</t>
  </si>
  <si>
    <t>naar\van</t>
  </si>
  <si>
    <t>Jaarlijkse cpi en wacc</t>
  </si>
  <si>
    <t>WACC</t>
  </si>
  <si>
    <t>INFRAMOSA</t>
  </si>
  <si>
    <t>EWR</t>
  </si>
  <si>
    <t>EWUZ</t>
  </si>
  <si>
    <t>Afnemers HS (110-150 kV)</t>
  </si>
  <si>
    <t>Vastrecht transportdienst</t>
  </si>
  <si>
    <t>kW gecontracteerd per jaar</t>
  </si>
  <si>
    <t>kW max per maand</t>
  </si>
  <si>
    <t>kWh tarief normaal</t>
  </si>
  <si>
    <t>kVArh blindvermogen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</si>
  <si>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</si>
  <si>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</si>
  <si>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</si>
  <si>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</si>
  <si>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</si>
  <si>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</si>
  <si>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Afnemers MS (1-20 kV) - TRANSPORT</t>
  </si>
  <si>
    <t>kW gecontracteerd</t>
  </si>
  <si>
    <t>Afnemers MS (1-20 kV) - DISTRIBUTIE</t>
  </si>
  <si>
    <t>Afnemers Trafo MS/LS</t>
  </si>
  <si>
    <t xml:space="preserve">Afnemers LS </t>
  </si>
  <si>
    <t>kWh tarief laag</t>
  </si>
  <si>
    <t>Afnemers &gt; 3 * 25 A  (DT)</t>
  </si>
  <si>
    <t>Afnemers &gt; 3* 25 A  (ET)</t>
  </si>
  <si>
    <t>kWh tarief enkel</t>
  </si>
  <si>
    <t>Afnemers &lt; 3* 25 A  (DT)</t>
  </si>
  <si>
    <t>Afnemers &lt; 3* 25 A  (ET)</t>
  </si>
  <si>
    <t>Periodieke aansluitvergoeding</t>
  </si>
  <si>
    <t>OV</t>
  </si>
  <si>
    <t>Eenmalige aansluitvergoeding</t>
  </si>
  <si>
    <t>Meerlengte</t>
  </si>
  <si>
    <t>Invoeding</t>
  </si>
  <si>
    <t>Afnemers LS geschakeld (1 * 6 A)</t>
  </si>
  <si>
    <t>Transportdienst</t>
  </si>
  <si>
    <t>Rekenvolumina 2011-2013</t>
  </si>
  <si>
    <t>Afnemers HS (110-150 kV) maximaal 600 uur p/jr</t>
  </si>
  <si>
    <t>Afnemers TS (25-50 kV) maximaal 600 uur p/jr</t>
  </si>
  <si>
    <t>Afnemers Trafo HS+TS/MS maximaal 600 uur p/jr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</si>
  <si>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</si>
  <si>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</si>
  <si>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</si>
  <si>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 per afnemerscategorie</t>
  </si>
  <si>
    <t>t/m 1*6A op het geschakeld net</t>
  </si>
  <si>
    <t>t/m 3*25A + alle 1-fase aansluitingen2</t>
  </si>
  <si>
    <t>&gt; 3*25A t/m 3*35A</t>
  </si>
  <si>
    <t>&gt; 3*35A t/m 3*50A</t>
  </si>
  <si>
    <t>&gt; 3*50A t/m 3*63A</t>
  </si>
  <si>
    <t>&gt; 3*63A t/m 3*80A</t>
  </si>
  <si>
    <t>nieuwe indeling als gevolg van capaciteitstarief - tarieven 2010</t>
  </si>
  <si>
    <t>Wegingsfactor 2010</t>
  </si>
  <si>
    <t/>
  </si>
  <si>
    <t>Omzetting naar volumes capaciteitstarief op basis van volumes zoals opgegeven bij tarievenvoorstel 2009</t>
  </si>
  <si>
    <t>Factoren voor omzetten naar capaciteitstariefindeling</t>
  </si>
  <si>
    <t>(linkerdeel formule)</t>
  </si>
  <si>
    <t>(rechterdeel formule)</t>
  </si>
  <si>
    <t>(verschil)</t>
  </si>
  <si>
    <t>SO2010</t>
  </si>
  <si>
    <t>Waterkruisingen</t>
  </si>
  <si>
    <t>Lokale heffingen</t>
  </si>
  <si>
    <t>Gedoogbelasting</t>
  </si>
  <si>
    <t>Kapitaalkosten afgeschreven precario (WACC 2011)</t>
  </si>
  <si>
    <t>CONET</t>
  </si>
  <si>
    <t>ENECO</t>
  </si>
  <si>
    <t>MOSA</t>
  </si>
  <si>
    <t>ESSENT</t>
  </si>
  <si>
    <t>CONT</t>
  </si>
  <si>
    <t>Afnemers EHS/HS (&gt;=110 kV)</t>
  </si>
  <si>
    <t>Afnemers HS (&gt;=50 kV;  &gt;10 MVA t/m 150 MW)</t>
  </si>
  <si>
    <t>t/m 1*6 A</t>
  </si>
  <si>
    <t>Afnemers EHS/HS (&gt;=110 kV)   ( &gt; 10 MVA maatwerk HS aansluiting)</t>
  </si>
  <si>
    <t>t/m 3*25A</t>
  </si>
  <si>
    <t>Afnemers HS (110-150 kV; capaciteit afhankelijk van netsituatie)</t>
  </si>
  <si>
    <t xml:space="preserve">&gt;3,0 MVA en t/m 10 MVA     </t>
  </si>
  <si>
    <t>&gt; 1*6A t/m 3*25A</t>
  </si>
  <si>
    <t>Afnemers TS (25-50)   (30 MVA maatwerk aansluiting)</t>
  </si>
  <si>
    <t>&gt;3*25A en t/m 3*50A</t>
  </si>
  <si>
    <t>Afnemers TS (25-50 kV; capaciteit afhankelijk van netsituatie)</t>
  </si>
  <si>
    <t xml:space="preserve">&gt;=1,0 MW en t/m 3 MVA   </t>
  </si>
  <si>
    <t>Afnemers Trafo HS + TS/MS</t>
  </si>
  <si>
    <t>Afnemers Trafo HS + TS/MS (&gt;2 MW t/m 10 MVA)</t>
  </si>
  <si>
    <t>&gt; 3*25A t/m 3*80A</t>
  </si>
  <si>
    <t>Afnemers Trafo HS + TS/MS &gt; 3 MVA t/m 10 MVA</t>
  </si>
  <si>
    <t>Aansl. cap. &gt; 6 MVA t/m 10 MVA  - ( indien aansl &gt; 10 MVA: maatwerk p.a.v.))</t>
  </si>
  <si>
    <t>&gt;3*50A en t/m 3*80A</t>
  </si>
  <si>
    <t>Afnemers Trafo HS+TS/MS (capaciteit afhankelijk van netsituatie)</t>
  </si>
  <si>
    <t>&gt;3*1500A en t/m 3*1600 A af sec zijde LS</t>
  </si>
  <si>
    <t>Afnemers MS (1-20 kV) - Transport</t>
  </si>
  <si>
    <t>&gt; 3*80A t/m 175 kVA</t>
  </si>
  <si>
    <t>Aansl. cap. &gt;1750 kVA t/m 6 MVA</t>
  </si>
  <si>
    <t>Afnemers MS (&gt; 3 MW )</t>
  </si>
  <si>
    <t>&gt;3*80A en t/m 100 kVA af sec zijde trafo</t>
  </si>
  <si>
    <t>Afnemers MS (1-20 kV) - Transport (&gt; 2.0 MVA tot 10 MVA)</t>
  </si>
  <si>
    <t>&gt;3*1200A en t/m 3*1500 A af sec zijde LS</t>
  </si>
  <si>
    <t>Afnemers MS (1-20 kV) - Distributie (&gt; 1,2 MVA t/m 3,0  MVA)</t>
  </si>
  <si>
    <t>Afnemers MS (1-20 kV) - Distributie (&gt;0,2 MW t/m 2 MW)</t>
  </si>
  <si>
    <t>&gt; 175kVA t/m 1750kVA</t>
  </si>
  <si>
    <t>Afnemers MS (1-20 kV) - Distrib.&gt; 0,63 MVA t/m 3 MVA</t>
  </si>
  <si>
    <t>Aansl. cap. &gt;173 kVA t/m 1750 kVA</t>
  </si>
  <si>
    <t>Afnemers MS (&gt; 3x250A t/m 3 MW)</t>
  </si>
  <si>
    <t>&gt;100 kVA en t/m 160 kVA af sec zijde trafo</t>
  </si>
  <si>
    <t>Afnemers MS (1-20 kV) - DISTRIBUTIE (&gt;= 400 kVA en &lt; 3 MVA)</t>
  </si>
  <si>
    <t>Afnemers MS (1-20 kV) - Distributie (&gt; 1,2 MVA t/m 2,0 MVA)</t>
  </si>
  <si>
    <t>&gt;3*750A en t/m 3*1200 A af sec zijde LS</t>
  </si>
  <si>
    <t>Afnemers Trafo MS/LS (&gt;0,15 MVA t/m 1,2 MVA)</t>
  </si>
  <si>
    <t>Afnemers Trafo MS/LS (&gt;50 kW t/m 0,2 MW)</t>
  </si>
  <si>
    <t>&gt; 1.750kVA t/m 3.000kVA</t>
  </si>
  <si>
    <t>Afnemers Trafo MS/LS &gt; 3*80 A t/m 0,63 MVA</t>
  </si>
  <si>
    <t>Aansl. cap. &gt; 3x80A t/m 3x250A (173 kVA)</t>
  </si>
  <si>
    <t>Afnemers Trafo MS/LS (&gt; 3x63A t/m 3x250A)</t>
  </si>
  <si>
    <t>&gt;160 kVA en t/m 630 kVA met LS meting</t>
  </si>
  <si>
    <t>Afnemers Trafo MS/LS (&gt; 100 kVA en &lt; 400 kVA)</t>
  </si>
  <si>
    <t>Afnemers Trafo MS/LS (0,15MVA t/m 1,2MVA)</t>
  </si>
  <si>
    <t>&gt;3*500A en t/m 3*750 A af sec zijde LS</t>
  </si>
  <si>
    <t>Afnemers LS (&gt;3*80A  t/m  3*225A)</t>
  </si>
  <si>
    <t>Afnemers LS (&gt; 3*80A t/m 50 kW)</t>
  </si>
  <si>
    <t>&gt; 3.000kVA t/m 10.000kVA</t>
  </si>
  <si>
    <t>Afnemers LS</t>
  </si>
  <si>
    <t>Aansl. cap. &gt; 3x80A t/m 3x250A (173 kVA) fysiek aangesloten op LS</t>
  </si>
  <si>
    <t>&gt;630 kVA en t/m 1000 kVA met LS meting</t>
  </si>
  <si>
    <t>Afnemers LS (&gt; 3*80 A en &lt;= 100kVA)</t>
  </si>
  <si>
    <t>Afnemers LS (&gt;3x80A t/m 3x225A)</t>
  </si>
  <si>
    <t>&gt;3*480A en t/m 3*500 A af sec zijde LS</t>
  </si>
  <si>
    <t>Afnemers &gt; 3*25A  t/m  3*80A  DT</t>
  </si>
  <si>
    <t>Afnemers &gt; 3 x 25A DT (&gt;3*25A t/m 3*80A)</t>
  </si>
  <si>
    <t>Afnemers &gt; 3 x 25A t/m 3 x 80A DT</t>
  </si>
  <si>
    <t>Afnemers &gt; 3 x 25A DT (doorlaatwaarde &gt;3x25A t/m 3x80A aangesloten op ls net)</t>
  </si>
  <si>
    <t>Afnemers &gt; 3 * 25 A  (DT) (&gt; 3x25A t/m 3x63A)</t>
  </si>
  <si>
    <t>&gt;1000 kVA en t/m 2,0 MVA</t>
  </si>
  <si>
    <t>Afnemers &gt; 3*25 A DT (&gt;= 17 kVA en &lt; 53 kVA)</t>
  </si>
  <si>
    <t>Afnemers &gt; 3x25A t/m 3x80A DT</t>
  </si>
  <si>
    <t>&gt;3*400A en t/m 3*480 A af sec zijde LS</t>
  </si>
  <si>
    <t>Afnemers &gt; 3*25A t/m 3*80A ET</t>
  </si>
  <si>
    <t>Afnemers &gt; 3 x 25A ET (&gt;3*25A t/m 3*80A)</t>
  </si>
  <si>
    <t>Afnemers &gt; 3 x 25A t/m 3 x 80A ET</t>
  </si>
  <si>
    <t>Afnemers &gt; 3 x 25A ET (doorlaatwaarde &gt;3x25A t/m 3x80A aangesloten op ls net)</t>
  </si>
  <si>
    <t>Afnemers &gt; 3 * 25 A  (ET) (&gt; 3x25A t/m 3x63A)</t>
  </si>
  <si>
    <t>&gt;2 MVA en t/m 5,0 MVA</t>
  </si>
  <si>
    <t>Afnemers &gt; 3*25 A ET (&gt;= 17 kVA  en &lt; 53 kVA)</t>
  </si>
  <si>
    <t>Afnemers &gt; 3x25A t/m 3x80A ET</t>
  </si>
  <si>
    <t xml:space="preserve">&gt;3*250A en t/m 3*400 A af sec zijde LS  </t>
  </si>
  <si>
    <t>Afnemers &gt;  1* 6A  t/m 3* 25A DT</t>
  </si>
  <si>
    <t>Afnemers &gt; 1*6A DT (&gt; 1*6A t/m 3*25A)</t>
  </si>
  <si>
    <t>Afnemers t/m 3 x25A DT</t>
  </si>
  <si>
    <t>Afnemers t/m 3 x 25A DT (doorlaatwaarde t/m 3x25A aangesloten op ls net)</t>
  </si>
  <si>
    <t>Afnemers &lt; 3 * 25 A  (DT) (&gt; 1x6A t/m 3x25A)</t>
  </si>
  <si>
    <t>&gt;5 MVA en t/m 10,0 MVA</t>
  </si>
  <si>
    <t>Afnemers &lt; 3*25 A DT (&gt;= 1,5 kVA en &lt; 17 kVA)</t>
  </si>
  <si>
    <t>Afnemers 0  t/m 3x25A en 1x40A DT</t>
  </si>
  <si>
    <t xml:space="preserve">&gt;3*200A en t/m 3*250 A af sec zijde LS </t>
  </si>
  <si>
    <t>Afnemers &gt;  1* 6A  t/m 3* 25A ET</t>
  </si>
  <si>
    <t>Afnemers &gt; 1*6A ET (&gt; 1*6A t/m 3*25A)</t>
  </si>
  <si>
    <t>Afnemers t/m 3 x25A ET</t>
  </si>
  <si>
    <t>Afnemers t/m 3 x 25A ET (doorlaatwaarde t/m 3x25A aangesloten op ls net)</t>
  </si>
  <si>
    <t>Afnemers &lt; 3 * 25 A  (ET) (&gt; 1x6A t/m 3x25A)</t>
  </si>
  <si>
    <t>t/m 1 x 6A op geschakeld net</t>
  </si>
  <si>
    <t>Afnemers &lt; 3*25 A ET (&gt;= 1,5 kVA en &lt; 17 kVA)</t>
  </si>
  <si>
    <t>Afnemers 0  t/m 3x25A en 1x40A ET</t>
  </si>
  <si>
    <t xml:space="preserve">&gt;3*80A en t/m 3*200 A af sec zijde LS       </t>
  </si>
  <si>
    <t>Afnemers 0 t/m 1* 6A  (OV)</t>
  </si>
  <si>
    <t>Afnemers t/m 1 x 6A geschakeld net</t>
  </si>
  <si>
    <t>Afnemers t/m 6A op geschakeld net</t>
  </si>
  <si>
    <t>Afnemers t/m 6A (geschakeld ls net)</t>
  </si>
  <si>
    <t>Afnemers LS geschakeld (t/m 1x6A)</t>
  </si>
  <si>
    <t>Afnemers LS geschakeld 1*6 A (&lt; 1,5 kVA)</t>
  </si>
  <si>
    <t>Afnemers 0 t/m 1x6A LS geschakeld</t>
  </si>
  <si>
    <t xml:space="preserve">&gt;3*63A en t/m 3*80A           </t>
  </si>
  <si>
    <t xml:space="preserve">&gt;3*50A en t/m 3*63A         </t>
  </si>
  <si>
    <t>&gt;3*35A en t/m 3*50A</t>
  </si>
  <si>
    <t>&gt;3*25A en t/m 3*35A</t>
  </si>
  <si>
    <t>LS &amp; Trafo MS/LS</t>
  </si>
  <si>
    <t>Categorieën die hoger ingedeeld zijn dan 3*80A met een maximum van 350 euro.</t>
  </si>
  <si>
    <t xml:space="preserve">&gt; 1*6A en t/m 3*25A  </t>
  </si>
  <si>
    <t>MS</t>
  </si>
  <si>
    <t>Alle overige tussencategorieën.</t>
  </si>
  <si>
    <t>t/m 1*6A (geschakeld net)</t>
  </si>
  <si>
    <t>&gt;MS</t>
  </si>
  <si>
    <t>Categorieën met een bovengrens groter dan 3 MVA.</t>
  </si>
  <si>
    <t>tarief</t>
  </si>
  <si>
    <t>volume</t>
  </si>
  <si>
    <t>t/m 1 x 6A geschakeld net</t>
  </si>
  <si>
    <t>t/m 3*25 A</t>
  </si>
  <si>
    <t>&gt;3*25A t/m 3*80A</t>
  </si>
  <si>
    <t xml:space="preserve">&gt;2,4 MVA en t/m 10 MVA     </t>
  </si>
  <si>
    <t xml:space="preserve">&gt;=1,0 MW en t/m 2,4 MVA   </t>
  </si>
  <si>
    <t xml:space="preserve">Afnemers MS (&gt; 3x250A t/m 3 MW) </t>
  </si>
  <si>
    <t>Afnemers Trafo MS/LS (&gt; 3x63A t/m 3x250A) aansluiting MS/LS</t>
  </si>
  <si>
    <t>Afnemers &gt; 3 * 25 A  (DT) (&gt; 3x25A t/m 3x80A aangesloten op ls)</t>
  </si>
  <si>
    <t>Afnemers &gt; 3 * 25 A  (ET)  (&gt; 3x25A t/m 3x80A aangesloten op ls)</t>
  </si>
  <si>
    <t>Afnemers &lt; 3 * 25 A  (DT) (&gt; 1x6A t/m 3x25A aangesloten op ls)</t>
  </si>
  <si>
    <t>Afnemers &lt; 3 * 25 A  (ET) (&gt; 1x6A t/m 3x25A aangesloten op ls)</t>
  </si>
  <si>
    <t xml:space="preserve">&gt;1000 kVA en t/m 2 MVA </t>
  </si>
  <si>
    <t>Categorieën die hoger ingedeeld zijn dan 3*80A met een maximum van 360 euro.</t>
  </si>
  <si>
    <t>meerlengte</t>
  </si>
  <si>
    <t>tarieven 2010</t>
  </si>
  <si>
    <t>tarieven 2009</t>
  </si>
  <si>
    <t>tarieven 2008</t>
  </si>
  <si>
    <t>tarieven 2007</t>
  </si>
  <si>
    <t>tarieven 2006</t>
  </si>
  <si>
    <t>volumes 2006</t>
  </si>
  <si>
    <t>volumes 2007</t>
  </si>
  <si>
    <t>volumes 2008</t>
  </si>
  <si>
    <t>volumes 2009</t>
  </si>
  <si>
    <t>ENEXIS (&gt;3 MVA)</t>
  </si>
  <si>
    <t>HS</t>
  </si>
  <si>
    <t>HS &lt;600</t>
  </si>
  <si>
    <t>HS/MS</t>
  </si>
  <si>
    <t>HS/MS &lt;600</t>
  </si>
  <si>
    <t>MS/LS</t>
  </si>
  <si>
    <t>LS GV</t>
  </si>
  <si>
    <t>LS&gt; 3*25A (DT)</t>
  </si>
  <si>
    <t>LS&gt; 3*25A (ET)</t>
  </si>
  <si>
    <t>LS=&lt; 3*25A (DT)</t>
  </si>
  <si>
    <t>LS=&lt; 3*25A (ET)</t>
  </si>
  <si>
    <t>LS 1*16A (ET)</t>
  </si>
  <si>
    <t>&gt; 1*6A t/m 3*25A (voorheen &lt; 3*25A)</t>
  </si>
  <si>
    <t>&gt; 3*25A t/m 3*80A (voorheen &gt; 3*25A)</t>
  </si>
  <si>
    <t>&gt; 3*25A t/m 3*80A (voorheen LS)</t>
  </si>
  <si>
    <t>(nog opzoeken!)</t>
  </si>
  <si>
    <t>&gt; afnemers LS</t>
  </si>
  <si>
    <t>&gt;2,0 MVA t/m 5 MVA</t>
  </si>
  <si>
    <t>&gt;5.0 MVA t/m 10 MVA</t>
  </si>
  <si>
    <t>Openbare Verlichting</t>
  </si>
  <si>
    <t>TS</t>
  </si>
  <si>
    <t>TS&lt;600</t>
  </si>
  <si>
    <t>HS/MS&lt;600</t>
  </si>
  <si>
    <t>Afnemers 1x6A (openbare verlichting)</t>
  </si>
  <si>
    <t>OMZET</t>
  </si>
  <si>
    <t>Nacalculaties 2010 die geen betrekking hebben op kosten 2010</t>
  </si>
  <si>
    <t>Inkomsten niet vastrecht 2010 + PAV</t>
  </si>
  <si>
    <t>Efficiënte kosten per output 2010</t>
  </si>
  <si>
    <t>ENDINET</t>
  </si>
  <si>
    <t>Samengestelde Output 2006  (transportdienst en PAV)</t>
  </si>
  <si>
    <t>Samengestelde Output 2007  (transportdienst en PAV)</t>
  </si>
  <si>
    <t>Samengestelde Output 2008  (transportdienst en PAV)</t>
  </si>
  <si>
    <t>Samengestelde Output 2009  (transportdienst en PAV)</t>
  </si>
  <si>
    <t>Mapping van volumes en tarieven voor Periodieke Aansluitvergoeding</t>
  </si>
  <si>
    <t>(elke netbeheerder heeft eigen indeling, op basis van de gehanteerde standaardisatie in NE4R worden hieronder de volumes en tarieven voor 2006 t/m 2009 gestandaardiseerd)</t>
  </si>
  <si>
    <t>NE4R - Samenvoeging categoriën 2007</t>
  </si>
  <si>
    <t>NE4R - Standaardisatie</t>
  </si>
  <si>
    <t>NE5R - Samenvoeging categoriën tbv wegingsfactor 2010</t>
  </si>
  <si>
    <t>Rekenvolumina 2008 - 2010</t>
  </si>
  <si>
    <t>NE4R - Data op basis van tarieven 2007 en rekenvolumes 2007</t>
  </si>
  <si>
    <t>NE5R - Standaardisatie tarieven en volumes 2008</t>
  </si>
  <si>
    <t>NE5R - Tarieven en volumes PAV 2009 (alleen volumes worden gebruikt tbv SO 2009)</t>
  </si>
  <si>
    <t>NE5R - Standaardisatie tarieven en volumes 2009</t>
  </si>
  <si>
    <t>NE5R - Standaardisatie tarieven en volumes 2007</t>
  </si>
  <si>
    <t>NE5R - Standaardisatie tarieven en volumes 2006</t>
  </si>
  <si>
    <t>NE5R - Gestandaardisatie tarieven 2010 (Volumes worden alleen gebruikt zodat de omzet ter controle berekend kan worden)</t>
  </si>
  <si>
    <t>Tarieven en volumes PAV meerlengte 2006 t/m 2009</t>
  </si>
  <si>
    <t>Mapping van volumes en tarieven voor Eenmalige Aansluitvergoeding</t>
  </si>
  <si>
    <t>(deze gestandaardiseerde volumes 2006 t/m 2009 en tarieven 2010 worden gebruikt in 'Volumes' en 'Wegingsfactor' om de Samengestelde Output voor de PAV te berekenen)</t>
  </si>
  <si>
    <t>EAV t/m 25 meter</t>
  </si>
  <si>
    <t>NE5R - EAV t/m 25 meter - Gestandaardisatie tarieven 2010 (Volumes worden alleen gebruikt zodat de omzet ter controle berekend kan worden)</t>
  </si>
  <si>
    <t>0 t/m 1*6A  (OV)</t>
  </si>
  <si>
    <t>&gt; 1*6A  en t/m 3*25A</t>
  </si>
  <si>
    <t>&gt;3*50A en t/m 3*63A</t>
  </si>
  <si>
    <t>&gt;3*63A en t/m 3*80A</t>
  </si>
  <si>
    <t>&gt;3*80A en t/m 3*100A af sec. zijde LS-transformator</t>
  </si>
  <si>
    <t>&gt;3*100A en t/m 3*125A af sec.zijde LS-transformator</t>
  </si>
  <si>
    <t>&gt;3*125A en t/m 3*160A af sec.zijde LS-transformator</t>
  </si>
  <si>
    <t>&gt;3*160A en t/m 3*200A af sec.zijde LS-transformator</t>
  </si>
  <si>
    <t>&gt;3*200A en t/m 3*225A af sec.zijde LS-transformator</t>
  </si>
  <si>
    <t>&gt;0,15 MVA en t/m 0,63 MVA MS met  LS meting</t>
  </si>
  <si>
    <t>&gt;0,63 MVA en t/m 1,2 MVA MS met LS meting</t>
  </si>
  <si>
    <t>&gt;1,2 MVA en t/m 1,8 MVA MS met  MS meting</t>
  </si>
  <si>
    <t>&gt;1,8 MVA en t/m 2,4 MVA MS met  MS meting</t>
  </si>
  <si>
    <t>&gt;2,4 MVA en t/m 3,0 MVA MS met  MS meting</t>
  </si>
  <si>
    <t>EAV &gt; 25 meter</t>
  </si>
  <si>
    <t>NE5R - EAV &gt; 25 meter - Gestandaardisatie tarieven 2010 (Volumes worden alleen gebruikt zodat de omzet ter controle berekend kan worden)</t>
  </si>
  <si>
    <t xml:space="preserve">t/m 1*6 A  geschakeld net </t>
  </si>
  <si>
    <t>&gt; 1*6A en t/m 3*25A</t>
  </si>
  <si>
    <t>&gt;50 kW en t/m 0,2 MW af sec. zijde LS</t>
  </si>
  <si>
    <t>&gt;0,2 MW en t/m 0.6 MW, LS meting</t>
  </si>
  <si>
    <t>&gt;0,6 MW en t/m 2.0 MW, MS meting</t>
  </si>
  <si>
    <t>&gt;2,0 MVA en t/m 5 MVA</t>
  </si>
  <si>
    <t>&gt;5,0 MVA en t/m 10 MVA</t>
  </si>
  <si>
    <t>t/m 1*6 A op geschakeld net</t>
  </si>
  <si>
    <t xml:space="preserve">t/m 1*40A </t>
  </si>
  <si>
    <t>&gt; 1*40A t/m 3*25A</t>
  </si>
  <si>
    <t>&gt;3*25A en t/m 3*40A</t>
  </si>
  <si>
    <t>&gt;3*40A en t/m 3*50A</t>
  </si>
  <si>
    <t>&gt;3*80A en t/m 3*160A</t>
  </si>
  <si>
    <t>&gt;3*160A  t/m 3*250A</t>
  </si>
  <si>
    <t>&gt;3*250A (173 kVA) t/m 630 kVA</t>
  </si>
  <si>
    <t>&gt; 630 kVA t/m 1750 kVA</t>
  </si>
  <si>
    <t>&gt; 1750 kVA t/m 6 MVA</t>
  </si>
  <si>
    <t>&gt;6,0 MVA en t/m 10 MVA</t>
  </si>
  <si>
    <t>0 t/m 1*6 A aansluting op geschakeld net</t>
  </si>
  <si>
    <t>&gt;3*25A t/m 3*63A</t>
  </si>
  <si>
    <t>&gt;3*63A t/m 3*80A</t>
  </si>
  <si>
    <t>&gt;3*80 A t/m 3*160A</t>
  </si>
  <si>
    <t>&gt;3*160 A t/m 250 A</t>
  </si>
  <si>
    <t>&gt;110 kVA t/m 630 kVA</t>
  </si>
  <si>
    <t>&gt;630 kVA t/m &lt;1 MVA</t>
  </si>
  <si>
    <t>&gt;1 MVA t/m 2 MVA</t>
  </si>
  <si>
    <t>&gt;2 MVA t/m 5,0 MVA</t>
  </si>
  <si>
    <t>&gt;5,0 MVA t/m 10 MVA</t>
  </si>
  <si>
    <t>0 t/m 1x6A LS geschakeld</t>
  </si>
  <si>
    <t>0 t/m 3x25A en 1x40A</t>
  </si>
  <si>
    <t>&gt;3x25A en t/m 3x40A</t>
  </si>
  <si>
    <t>&gt;3x40A en t/m 3x50A</t>
  </si>
  <si>
    <t>&gt;3x50A en t/m 3x63A</t>
  </si>
  <si>
    <t>&gt;3x63A en t/m 3x80A</t>
  </si>
  <si>
    <t xml:space="preserve">&gt;3x80A en t/m 3x100A </t>
  </si>
  <si>
    <t xml:space="preserve">&gt;3x100A en t/m 3x125A </t>
  </si>
  <si>
    <t xml:space="preserve">&gt;3x125A en t/m 3x160A </t>
  </si>
  <si>
    <t xml:space="preserve">&gt;3x160A en t/m 3x200A </t>
  </si>
  <si>
    <t xml:space="preserve">&gt;3x200A en t/m 3x225A </t>
  </si>
  <si>
    <t>&gt;0,15 t/m 0.63 MVA met LS meting</t>
  </si>
  <si>
    <t xml:space="preserve">&gt; 0.63 MVA t/m 1.2 MVA met LS meting </t>
  </si>
  <si>
    <t>&gt; 1.2 MVA t/m 2 MVA met MS meting</t>
  </si>
  <si>
    <t>&gt; 2 MVA t/m 5 MVA met MS meting</t>
  </si>
  <si>
    <t>&gt; 5 MVA tot 10 MVA met MS meting</t>
  </si>
  <si>
    <t>1*6 A op geschakeld net</t>
  </si>
  <si>
    <t>&gt;1*6A t/m 3*25A</t>
  </si>
  <si>
    <t>&gt;3*35A en t/m 3*63A</t>
  </si>
  <si>
    <t>&gt; 3*63 A t/m 3*80A</t>
  </si>
  <si>
    <t>&gt;3*80A t/m 3*125 A</t>
  </si>
  <si>
    <t>&gt;3*125 Amp t/m 175 kVA</t>
  </si>
  <si>
    <t>&gt; 175kVA t/m 630kVA</t>
  </si>
  <si>
    <t>&gt; 630kVA t/m 1.000kVA</t>
  </si>
  <si>
    <t>&gt; 1.000kVA t/m 1.750kVA</t>
  </si>
  <si>
    <t>&gt;2,4 MVA en t/m 10 MVA</t>
  </si>
  <si>
    <t>&gt;= 1MW en t/m 2,4 MVA</t>
  </si>
  <si>
    <t>&gt;3*1500A en t/m 3*1600A af sec. zijde LS</t>
  </si>
  <si>
    <t>&gt;3*1200A en t/m 3*1500A af sec. zijde LS</t>
  </si>
  <si>
    <t>&gt;3*750A en t/m 3*1200A af sec. zijde LS</t>
  </si>
  <si>
    <t>&gt;3*500A en t/m 3*750A af sec. zijde LS</t>
  </si>
  <si>
    <t>&gt;3*480A en t/m 3*500A af sec. zijde LS</t>
  </si>
  <si>
    <t>&gt;3*400A en t/m 3*480A af sec. zijde LS</t>
  </si>
  <si>
    <t>&gt;3*250A en t/m 3*400A af sec. zijde LS</t>
  </si>
  <si>
    <t>&gt;3*200A en t/m 3*250A af sec. zijde LS</t>
  </si>
  <si>
    <t>&gt;3*80A en t/m 3*200A af sec. zijde LS</t>
  </si>
  <si>
    <t>1*6A geschakeld net</t>
  </si>
  <si>
    <t>NE5R - EAV &gt; 25 meter - Volumes en tarieven 2009 (alleen volumes worden gebruikt tbv SO 2009)</t>
  </si>
  <si>
    <t>NE5R - EAV t/m 25 meter - Volumes en tarieven 2009 (alleen volumes worden gebruikt tbv SO 2009)</t>
  </si>
  <si>
    <t>NE5R - EAV &gt; 25 meter - Gestandaardisatie Volumes en tarieven 2009 (alleen volumes worden gebruikt tbv SO 2009)</t>
  </si>
  <si>
    <t>t/m 25 meter</t>
  </si>
  <si>
    <t>&gt; 25 meter</t>
  </si>
  <si>
    <t>Enexis excl. Inframosane</t>
  </si>
  <si>
    <t>Inframosane</t>
  </si>
  <si>
    <t>Liander excl. EWR</t>
  </si>
  <si>
    <t>EMIX</t>
  </si>
  <si>
    <t>Eneco (EMIX + EWUZ) / Stedin</t>
  </si>
  <si>
    <t>2010 op basis van Rekenvolumes</t>
  </si>
  <si>
    <t>Begininkomsten 2010 Totaal</t>
  </si>
  <si>
    <t>Begininkomsten 2010 Aansluitdienst</t>
  </si>
  <si>
    <t>Begininkomsten 2010 Transportdienst</t>
  </si>
  <si>
    <t>Berekening Gest. Economische Kosten 2009 t.b.v. significantietoets ORV</t>
  </si>
  <si>
    <t>Kapitaalkosten 2009 (o.b.v. WACC 2009)</t>
  </si>
  <si>
    <t>Gest. Economische Kosten 2009 (o.b.v. WACC 2009)</t>
  </si>
  <si>
    <t>Totale kosten ORV Waterkruisingen</t>
  </si>
  <si>
    <t>Geschatte ORV Waterkruisingen 2013 (obv kosten 2009)</t>
  </si>
  <si>
    <t>Geschatte ORV LH 2013 (obv kosten 2009)</t>
  </si>
  <si>
    <t>De cijfers in dit werkblad hebben als geheel daardoor geen andere dan illustratieve waarde en zijn geen conceptschattingen voor x-factoren.</t>
  </si>
  <si>
    <t>Dit Excel-bestand bevat het model waarmee de x-factoren voor regionale netbeheerders elektriciteit worden berekend, zoals dat is</t>
  </si>
  <si>
    <t>beschreven in het ontwerp-besluit met kenmerk 103221_1/101. Dit Excel bestand zelf vormt geen onderdeel van het ontwerp-methodebesluit.</t>
  </si>
  <si>
    <t>Zoals de tekst in de disclaimer op ieder pagina vermeldt, is de data over de periode tot en met 2008 die in dit bestand staat nog niet gevalideerd.</t>
  </si>
  <si>
    <t>Aangezien nog geen data over het jaar 2009 beschikbaar is, zijn deze cijfers ook niet opgenomen in dit bestand. De Raad heeft er voor gekozen</t>
  </si>
  <si>
    <t>geen aannames te doen over de data van 2009. Om 'fout'-waarden in formules te voorkomen zjin enen en nullen opgenomen voor deze data.</t>
  </si>
  <si>
    <t>Efficiënte kosten per output 2010 (zonder ASD)</t>
  </si>
  <si>
    <t>Factor</t>
  </si>
  <si>
    <t>Omschrijving</t>
  </si>
  <si>
    <t>In het tarievenvoorstel 2009 hebben netbeheerders rekenvolumes opgegeven volgens de indeling zonder capaciteitstarief en volgens de indeling met capaciteitstarief.</t>
  </si>
  <si>
    <t>De verhouding tussen beide indelingen is gebruikt om de volumes van 2006 tot en met 2008 om te zetten naar volumes op basis van de nieuwe indeling met capaciteitstarief.</t>
  </si>
  <si>
    <t>Schalingsfactor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</si>
</sst>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F&quot;\ * #,##0_-;_-&quot;F&quot;\ * #,##0\-;_-&quot;F&quot;\ * &quot;-&quot;_-;_-@_-"/>
    <numFmt numFmtId="173" formatCode="_-&quot;F&quot;\ * #,##0.00_-;_-&quot;F&quot;\ * #,##0.00\-;_-&quot;F&quot;\ * &quot;-&quot;??_-;_-@_-"/>
    <numFmt numFmtId="174" formatCode="0.00000"/>
    <numFmt numFmtId="175" formatCode="0.0"/>
    <numFmt numFmtId="176" formatCode="_-* #,##0.0000_-;_-* #,##0.0000\-;_-* &quot;-&quot;_-;_-@_-"/>
    <numFmt numFmtId="177" formatCode="0.000000"/>
    <numFmt numFmtId="178" formatCode="0.0%"/>
    <numFmt numFmtId="179" formatCode="0.0000%"/>
    <numFmt numFmtId="180" formatCode="_-* #,##0.0000_-;_-* #,##0.0000\-;_-* &quot;-&quot;????_-;_-@_-"/>
    <numFmt numFmtId="181" formatCode="#,##0.000"/>
    <numFmt numFmtId="182" formatCode="0.000"/>
    <numFmt numFmtId="183" formatCode="0_ ;\-0\ "/>
    <numFmt numFmtId="184" formatCode="_-* #,##0.00_-;_-* #,##0.00\-;_-* &quot;-&quot;_-;_-@_-"/>
    <numFmt numFmtId="185" formatCode="0.000%"/>
    <numFmt numFmtId="186" formatCode="_-* #,##0_-;_-* #,##0\-;_-* &quot;-&quot;??_-;_-@_-"/>
    <numFmt numFmtId="187" formatCode="_-* #,##0.000000_-;_-* #,##0.000000\-;_-* &quot;-&quot;_-;_-@_-"/>
    <numFmt numFmtId="188" formatCode="_-* #,##0.000000_-;_-* #,##0.000000\-;_-* &quot;-&quot;??_-;_-@_-"/>
    <numFmt numFmtId="189" formatCode="_-* #,##0.000000_-;_-* #,##0.000000\-;_-* &quot;-&quot;??????_-;_-@_-"/>
    <numFmt numFmtId="190" formatCode="0.0000"/>
    <numFmt numFmtId="191" formatCode="_-* #,##0.0_-;_-* #,##0.0\-;_-* &quot;-&quot;??_-;_-@_-"/>
  </numFmts>
  <fonts count="62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23"/>
      <name val="Arial"/>
      <family val="2"/>
    </font>
    <font>
      <sz val="8"/>
      <name val="ScalaSans"/>
      <family val="2"/>
    </font>
    <font>
      <sz val="10"/>
      <name val="ScalaSans"/>
      <family val="2"/>
    </font>
    <font>
      <b/>
      <sz val="10"/>
      <color indexed="8"/>
      <name val="MS Sans Serif"/>
      <family val="2"/>
    </font>
    <font>
      <sz val="10"/>
      <color indexed="10"/>
      <name val="ScalaSans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0"/>
      <color indexed="10"/>
      <name val="MS Sans Serif"/>
      <family val="0"/>
    </font>
    <font>
      <b/>
      <sz val="8"/>
      <name val="ScalaSans"/>
      <family val="2"/>
    </font>
    <font>
      <b/>
      <sz val="10"/>
      <color indexed="10"/>
      <name val="MS Sans Serif"/>
      <family val="2"/>
    </font>
    <font>
      <b/>
      <i/>
      <sz val="10"/>
      <color indexed="10"/>
      <name val="Arial"/>
      <family val="2"/>
    </font>
    <font>
      <b/>
      <sz val="12"/>
      <name val="ScalaSans"/>
      <family val="2"/>
    </font>
    <font>
      <b/>
      <i/>
      <sz val="8"/>
      <name val="ScalaSans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color indexed="8"/>
      <name val="MS Sans Serif"/>
      <family val="0"/>
    </font>
    <font>
      <sz val="10"/>
      <color indexed="8"/>
      <name val="ScalaSans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8.5"/>
      <color indexed="8"/>
      <name val="MS Sans Serif"/>
      <family val="0"/>
    </font>
    <font>
      <b/>
      <sz val="10"/>
      <color indexed="55"/>
      <name val="Arial"/>
      <family val="2"/>
    </font>
    <font>
      <sz val="10"/>
      <color indexed="55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gray125">
        <b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22"/>
      </patternFill>
    </fill>
    <fill>
      <patternFill patternType="gray0625"/>
    </fill>
    <fill>
      <patternFill patternType="gray0625">
        <bgColor indexed="40"/>
      </patternFill>
    </fill>
    <fill>
      <patternFill patternType="gray0625">
        <bgColor indexed="42"/>
      </patternFill>
    </fill>
    <fill>
      <patternFill patternType="gray0625">
        <bgColor indexed="9"/>
      </patternFill>
    </fill>
    <fill>
      <patternFill patternType="gray0625">
        <bgColor indexed="43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8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0" borderId="10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 textRotation="90"/>
    </xf>
    <xf numFmtId="0" fontId="0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0" fontId="0" fillId="26" borderId="10" xfId="0" applyFont="1" applyFill="1" applyBorder="1" applyAlignment="1">
      <alignment/>
    </xf>
    <xf numFmtId="41" fontId="4" fillId="27" borderId="0" xfId="0" applyNumberFormat="1" applyFont="1" applyFill="1" applyBorder="1" applyAlignment="1">
      <alignment/>
    </xf>
    <xf numFmtId="174" fontId="4" fillId="22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175" fontId="5" fillId="27" borderId="10" xfId="0" applyNumberFormat="1" applyFont="1" applyFill="1" applyBorder="1" applyAlignment="1">
      <alignment/>
    </xf>
    <xf numFmtId="41" fontId="4" fillId="22" borderId="0" xfId="0" applyNumberFormat="1" applyFont="1" applyFill="1" applyBorder="1" applyAlignment="1">
      <alignment/>
    </xf>
    <xf numFmtId="41" fontId="4" fillId="24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41" fontId="0" fillId="24" borderId="0" xfId="0" applyNumberFormat="1" applyFill="1" applyAlignment="1">
      <alignment/>
    </xf>
    <xf numFmtId="0" fontId="2" fillId="20" borderId="10" xfId="0" applyFont="1" applyFill="1" applyBorder="1" applyAlignment="1">
      <alignment wrapText="1"/>
    </xf>
    <xf numFmtId="41" fontId="4" fillId="22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78" fontId="4" fillId="22" borderId="0" xfId="0" applyNumberFormat="1" applyFont="1" applyFill="1" applyAlignment="1">
      <alignment/>
    </xf>
    <xf numFmtId="178" fontId="4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41" fontId="4" fillId="4" borderId="0" xfId="0" applyNumberFormat="1" applyFont="1" applyFill="1" applyBorder="1" applyAlignment="1">
      <alignment/>
    </xf>
    <xf numFmtId="0" fontId="12" fillId="24" borderId="0" xfId="0" applyFill="1" applyAlignment="1">
      <alignment/>
    </xf>
    <xf numFmtId="0" fontId="15" fillId="20" borderId="10" xfId="0" applyFont="1" applyFill="1" applyBorder="1" applyAlignment="1">
      <alignment horizontal="center" textRotation="90"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/>
    </xf>
    <xf numFmtId="3" fontId="4" fillId="22" borderId="0" xfId="0" applyNumberFormat="1" applyFont="1" applyFill="1" applyAlignment="1">
      <alignment/>
    </xf>
    <xf numFmtId="3" fontId="4" fillId="27" borderId="0" xfId="0" applyNumberFormat="1" applyFont="1" applyFill="1" applyAlignment="1">
      <alignment/>
    </xf>
    <xf numFmtId="0" fontId="12" fillId="24" borderId="0" xfId="0" applyFont="1" applyFill="1" applyAlignment="1">
      <alignment/>
    </xf>
    <xf numFmtId="43" fontId="4" fillId="27" borderId="0" xfId="0" applyNumberFormat="1" applyFont="1" applyFill="1" applyBorder="1" applyAlignment="1">
      <alignment/>
    </xf>
    <xf numFmtId="0" fontId="12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20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1" fontId="21" fillId="22" borderId="0" xfId="0" applyNumberFormat="1" applyFont="1" applyFill="1" applyAlignment="1">
      <alignment/>
    </xf>
    <xf numFmtId="41" fontId="2" fillId="20" borderId="10" xfId="0" applyNumberFormat="1" applyFont="1" applyFill="1" applyBorder="1" applyAlignment="1">
      <alignment/>
    </xf>
    <xf numFmtId="41" fontId="3" fillId="20" borderId="10" xfId="0" applyNumberFormat="1" applyFont="1" applyFill="1" applyBorder="1" applyAlignment="1">
      <alignment horizontal="center" textRotation="90"/>
    </xf>
    <xf numFmtId="41" fontId="1" fillId="20" borderId="10" xfId="0" applyNumberFormat="1" applyFont="1" applyFill="1" applyBorder="1" applyAlignment="1">
      <alignment/>
    </xf>
    <xf numFmtId="41" fontId="0" fillId="25" borderId="10" xfId="0" applyNumberFormat="1" applyFont="1" applyFill="1" applyBorder="1" applyAlignment="1">
      <alignment/>
    </xf>
    <xf numFmtId="41" fontId="0" fillId="24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4" fillId="4" borderId="0" xfId="54" applyNumberFormat="1" applyFont="1" applyFill="1" applyBorder="1" applyAlignment="1" applyProtection="1">
      <alignment horizontal="right"/>
      <protection locked="0"/>
    </xf>
    <xf numFmtId="41" fontId="4" fillId="4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4" fillId="0" borderId="0" xfId="62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>
      <alignment horizontal="right"/>
    </xf>
    <xf numFmtId="41" fontId="4" fillId="4" borderId="0" xfId="55" applyNumberFormat="1" applyFont="1" applyFill="1" applyBorder="1" applyAlignment="1" applyProtection="1">
      <alignment horizontal="right"/>
      <protection locked="0"/>
    </xf>
    <xf numFmtId="41" fontId="8" fillId="0" borderId="0" xfId="62" applyNumberFormat="1" applyFont="1" applyFill="1" applyBorder="1" applyAlignment="1" applyProtection="1">
      <alignment horizontal="right"/>
      <protection/>
    </xf>
    <xf numFmtId="41" fontId="4" fillId="4" borderId="0" xfId="62" applyNumberFormat="1" applyFont="1" applyFill="1" applyBorder="1" applyAlignment="1" applyProtection="1">
      <alignment horizontal="right"/>
      <protection locked="0"/>
    </xf>
    <xf numFmtId="41" fontId="4" fillId="4" borderId="0" xfId="0" applyNumberFormat="1" applyFont="1" applyFill="1" applyBorder="1" applyAlignment="1" applyProtection="1">
      <alignment horizontal="right"/>
      <protection locked="0"/>
    </xf>
    <xf numFmtId="41" fontId="4" fillId="0" borderId="0" xfId="62" applyNumberFormat="1" applyFont="1" applyFill="1" applyBorder="1" applyAlignment="1" applyProtection="1">
      <alignment horizontal="right"/>
      <protection locked="0"/>
    </xf>
    <xf numFmtId="41" fontId="4" fillId="4" borderId="0" xfId="52" applyNumberFormat="1" applyFont="1" applyFill="1" applyBorder="1" applyAlignment="1" applyProtection="1">
      <alignment horizontal="right"/>
      <protection locked="0"/>
    </xf>
    <xf numFmtId="41" fontId="4" fillId="0" borderId="0" xfId="52" applyNumberFormat="1" applyFont="1" applyFill="1" applyBorder="1" applyAlignment="1" applyProtection="1">
      <alignment horizontal="right"/>
      <protection locked="0"/>
    </xf>
    <xf numFmtId="41" fontId="4" fillId="20" borderId="0" xfId="0" applyNumberFormat="1" applyFont="1" applyFill="1" applyBorder="1" applyAlignment="1">
      <alignment horizontal="right"/>
    </xf>
    <xf numFmtId="41" fontId="4" fillId="20" borderId="0" xfId="62" applyNumberFormat="1" applyFont="1" applyFill="1" applyBorder="1" applyAlignment="1" applyProtection="1">
      <alignment horizontal="right"/>
      <protection/>
    </xf>
    <xf numFmtId="41" fontId="4" fillId="20" borderId="0" xfId="62" applyNumberFormat="1" applyFont="1" applyFill="1" applyBorder="1" applyAlignment="1" applyProtection="1">
      <alignment horizontal="right"/>
      <protection locked="0"/>
    </xf>
    <xf numFmtId="41" fontId="4" fillId="20" borderId="0" xfId="0" applyNumberFormat="1" applyFont="1" applyFill="1" applyBorder="1" applyAlignment="1" applyProtection="1">
      <alignment horizontal="right"/>
      <protection locked="0"/>
    </xf>
    <xf numFmtId="43" fontId="2" fillId="20" borderId="10" xfId="0" applyNumberFormat="1" applyFont="1" applyFill="1" applyBorder="1" applyAlignment="1">
      <alignment/>
    </xf>
    <xf numFmtId="43" fontId="1" fillId="20" borderId="10" xfId="0" applyNumberFormat="1" applyFont="1" applyFill="1" applyBorder="1" applyAlignment="1">
      <alignment/>
    </xf>
    <xf numFmtId="43" fontId="3" fillId="25" borderId="10" xfId="0" applyNumberFormat="1" applyFont="1" applyFill="1" applyBorder="1" applyAlignment="1">
      <alignment horizontal="left"/>
    </xf>
    <xf numFmtId="43" fontId="0" fillId="25" borderId="1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3" fontId="12" fillId="24" borderId="0" xfId="0" applyNumberFormat="1" applyFill="1" applyAlignment="1">
      <alignment/>
    </xf>
    <xf numFmtId="43" fontId="12" fillId="0" borderId="0" xfId="0" applyNumberFormat="1" applyFill="1" applyAlignment="1">
      <alignment/>
    </xf>
    <xf numFmtId="41" fontId="4" fillId="24" borderId="0" xfId="61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41" fontId="4" fillId="24" borderId="0" xfId="0" applyNumberFormat="1" applyFont="1" applyFill="1" applyAlignment="1">
      <alignment/>
    </xf>
    <xf numFmtId="41" fontId="4" fillId="24" borderId="0" xfId="62" applyNumberFormat="1" applyFont="1" applyFill="1" applyBorder="1" applyAlignment="1" applyProtection="1">
      <alignment/>
      <protection/>
    </xf>
    <xf numFmtId="41" fontId="4" fillId="27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2" fillId="20" borderId="10" xfId="0" applyNumberFormat="1" applyFont="1" applyFill="1" applyBorder="1" applyAlignment="1">
      <alignment wrapText="1"/>
    </xf>
    <xf numFmtId="41" fontId="3" fillId="24" borderId="0" xfId="0" applyNumberFormat="1" applyFont="1" applyFill="1" applyBorder="1" applyAlignment="1">
      <alignment/>
    </xf>
    <xf numFmtId="41" fontId="8" fillId="24" borderId="0" xfId="0" applyNumberFormat="1" applyFont="1" applyFill="1" applyBorder="1" applyAlignment="1">
      <alignment horizontal="right"/>
    </xf>
    <xf numFmtId="41" fontId="0" fillId="24" borderId="0" xfId="0" applyNumberFormat="1" applyFont="1" applyFill="1" applyBorder="1" applyAlignment="1">
      <alignment/>
    </xf>
    <xf numFmtId="41" fontId="9" fillId="24" borderId="0" xfId="0" applyNumberFormat="1" applyFont="1" applyFill="1" applyBorder="1" applyAlignment="1">
      <alignment/>
    </xf>
    <xf numFmtId="41" fontId="9" fillId="24" borderId="0" xfId="0" applyNumberFormat="1" applyFont="1" applyFill="1" applyBorder="1" applyAlignment="1">
      <alignment/>
    </xf>
    <xf numFmtId="41" fontId="3" fillId="24" borderId="0" xfId="0" applyNumberFormat="1" applyFont="1" applyFill="1" applyBorder="1" applyAlignment="1">
      <alignment/>
    </xf>
    <xf numFmtId="41" fontId="10" fillId="24" borderId="0" xfId="0" applyNumberFormat="1" applyFont="1" applyFill="1" applyBorder="1" applyAlignment="1">
      <alignment/>
    </xf>
    <xf numFmtId="183" fontId="3" fillId="25" borderId="10" xfId="0" applyNumberFormat="1" applyFont="1" applyFill="1" applyBorder="1" applyAlignment="1">
      <alignment horizontal="left"/>
    </xf>
    <xf numFmtId="43" fontId="10" fillId="2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2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41" fontId="15" fillId="0" borderId="10" xfId="0" applyNumberFormat="1" applyFont="1" applyFill="1" applyBorder="1" applyAlignment="1">
      <alignment horizontal="center" textRotation="90"/>
    </xf>
    <xf numFmtId="0" fontId="0" fillId="0" borderId="0" xfId="0" applyFont="1" applyFill="1" applyAlignment="1">
      <alignment/>
    </xf>
    <xf numFmtId="39" fontId="16" fillId="0" borderId="0" xfId="61" applyNumberFormat="1" applyFont="1" applyFill="1" applyBorder="1" applyAlignment="1">
      <alignment/>
      <protection/>
    </xf>
    <xf numFmtId="3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2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Border="1" applyAlignment="1">
      <alignment/>
    </xf>
    <xf numFmtId="41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 textRotation="90"/>
    </xf>
    <xf numFmtId="41" fontId="15" fillId="0" borderId="0" xfId="0" applyNumberFormat="1" applyFont="1" applyFill="1" applyBorder="1" applyAlignment="1">
      <alignment horizontal="center" textRotation="90"/>
    </xf>
    <xf numFmtId="41" fontId="1" fillId="0" borderId="0" xfId="0" applyNumberFormat="1" applyFont="1" applyFill="1" applyBorder="1" applyAlignment="1">
      <alignment/>
    </xf>
    <xf numFmtId="41" fontId="4" fillId="0" borderId="0" xfId="54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>
      <alignment/>
    </xf>
    <xf numFmtId="41" fontId="25" fillId="24" borderId="0" xfId="0" applyNumberFormat="1" applyFont="1" applyFill="1" applyAlignment="1">
      <alignment/>
    </xf>
    <xf numFmtId="41" fontId="25" fillId="2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2" fillId="22" borderId="0" xfId="0" applyNumberFormat="1" applyFill="1" applyAlignment="1">
      <alignment/>
    </xf>
    <xf numFmtId="0" fontId="12" fillId="22" borderId="0" xfId="0" applyFill="1" applyAlignment="1">
      <alignment/>
    </xf>
    <xf numFmtId="179" fontId="5" fillId="27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3" fontId="4" fillId="20" borderId="0" xfId="0" applyNumberFormat="1" applyFont="1" applyFill="1" applyAlignment="1">
      <alignment/>
    </xf>
    <xf numFmtId="0" fontId="1" fillId="20" borderId="12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183" fontId="3" fillId="0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3" fontId="12" fillId="4" borderId="0" xfId="0" applyNumberFormat="1" applyFill="1" applyAlignment="1">
      <alignment/>
    </xf>
    <xf numFmtId="3" fontId="12" fillId="0" borderId="0" xfId="0" applyNumberForma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13" fillId="0" borderId="0" xfId="0" applyFont="1" applyAlignment="1">
      <alignment/>
    </xf>
    <xf numFmtId="39" fontId="23" fillId="0" borderId="11" xfId="61" applyNumberFormat="1" applyFont="1" applyFill="1" applyBorder="1" applyAlignment="1">
      <alignment horizontal="left"/>
      <protection/>
    </xf>
    <xf numFmtId="39" fontId="23" fillId="0" borderId="13" xfId="61" applyNumberFormat="1" applyFont="1" applyFill="1" applyBorder="1" applyAlignment="1">
      <alignment horizontal="center"/>
      <protection/>
    </xf>
    <xf numFmtId="0" fontId="16" fillId="24" borderId="14" xfId="0" applyFont="1" applyFill="1" applyBorder="1" applyAlignment="1">
      <alignment/>
    </xf>
    <xf numFmtId="0" fontId="16" fillId="24" borderId="15" xfId="0" applyFont="1" applyFill="1" applyBorder="1" applyAlignment="1">
      <alignment/>
    </xf>
    <xf numFmtId="2" fontId="16" fillId="24" borderId="15" xfId="0" applyNumberFormat="1" applyFont="1" applyFill="1" applyBorder="1" applyAlignment="1" applyProtection="1">
      <alignment/>
      <protection locked="0"/>
    </xf>
    <xf numFmtId="3" fontId="16" fillId="24" borderId="15" xfId="0" applyNumberFormat="1" applyFont="1" applyFill="1" applyBorder="1" applyAlignment="1" applyProtection="1">
      <alignment/>
      <protection locked="0"/>
    </xf>
    <xf numFmtId="2" fontId="16" fillId="22" borderId="15" xfId="0" applyNumberFormat="1" applyFont="1" applyFill="1" applyBorder="1" applyAlignment="1" applyProtection="1">
      <alignment/>
      <protection locked="0"/>
    </xf>
    <xf numFmtId="3" fontId="16" fillId="22" borderId="15" xfId="0" applyNumberFormat="1" applyFont="1" applyFill="1" applyBorder="1" applyAlignment="1" applyProtection="1">
      <alignment/>
      <protection locked="0"/>
    </xf>
    <xf numFmtId="0" fontId="16" fillId="24" borderId="16" xfId="0" applyFont="1" applyFill="1" applyBorder="1" applyAlignment="1">
      <alignment/>
    </xf>
    <xf numFmtId="43" fontId="16" fillId="4" borderId="15" xfId="52" applyFont="1" applyFill="1" applyBorder="1" applyAlignment="1" applyProtection="1">
      <alignment/>
      <protection locked="0"/>
    </xf>
    <xf numFmtId="3" fontId="16" fillId="4" borderId="15" xfId="0" applyNumberFormat="1" applyFont="1" applyFill="1" applyBorder="1" applyAlignment="1" applyProtection="1">
      <alignment/>
      <protection locked="0"/>
    </xf>
    <xf numFmtId="2" fontId="16" fillId="28" borderId="15" xfId="0" applyNumberFormat="1" applyFont="1" applyFill="1" applyBorder="1" applyAlignment="1" applyProtection="1">
      <alignment/>
      <protection locked="0"/>
    </xf>
    <xf numFmtId="3" fontId="16" fillId="28" borderId="15" xfId="0" applyNumberFormat="1" applyFont="1" applyFill="1" applyBorder="1" applyAlignment="1" applyProtection="1">
      <alignment/>
      <protection locked="0"/>
    </xf>
    <xf numFmtId="0" fontId="16" fillId="24" borderId="17" xfId="0" applyFont="1" applyFill="1" applyBorder="1" applyAlignment="1">
      <alignment/>
    </xf>
    <xf numFmtId="2" fontId="16" fillId="24" borderId="17" xfId="0" applyNumberFormat="1" applyFont="1" applyFill="1" applyBorder="1" applyAlignment="1" applyProtection="1">
      <alignment/>
      <protection locked="0"/>
    </xf>
    <xf numFmtId="3" fontId="16" fillId="24" borderId="17" xfId="0" applyNumberFormat="1" applyFont="1" applyFill="1" applyBorder="1" applyAlignment="1" applyProtection="1">
      <alignment/>
      <protection locked="0"/>
    </xf>
    <xf numFmtId="2" fontId="16" fillId="4" borderId="17" xfId="0" applyNumberFormat="1" applyFont="1" applyFill="1" applyBorder="1" applyAlignment="1" applyProtection="1">
      <alignment/>
      <protection locked="0"/>
    </xf>
    <xf numFmtId="3" fontId="16" fillId="4" borderId="17" xfId="0" applyNumberFormat="1" applyFont="1" applyFill="1" applyBorder="1" applyAlignment="1" applyProtection="1">
      <alignment/>
      <protection locked="0"/>
    </xf>
    <xf numFmtId="43" fontId="16" fillId="27" borderId="17" xfId="52" applyFont="1" applyFill="1" applyBorder="1" applyAlignment="1" applyProtection="1">
      <alignment/>
      <protection locked="0"/>
    </xf>
    <xf numFmtId="3" fontId="16" fillId="27" borderId="17" xfId="0" applyNumberFormat="1" applyFont="1" applyFill="1" applyBorder="1" applyAlignment="1" applyProtection="1">
      <alignment/>
      <protection locked="0"/>
    </xf>
    <xf numFmtId="2" fontId="16" fillId="28" borderId="17" xfId="0" applyNumberFormat="1" applyFont="1" applyFill="1" applyBorder="1" applyAlignment="1" applyProtection="1">
      <alignment/>
      <protection locked="0"/>
    </xf>
    <xf numFmtId="3" fontId="16" fillId="28" borderId="17" xfId="0" applyNumberFormat="1" applyFont="1" applyFill="1" applyBorder="1" applyAlignment="1" applyProtection="1">
      <alignment/>
      <protection locked="0"/>
    </xf>
    <xf numFmtId="2" fontId="16" fillId="11" borderId="17" xfId="0" applyNumberFormat="1" applyFont="1" applyFill="1" applyBorder="1" applyAlignment="1" applyProtection="1">
      <alignment/>
      <protection locked="0"/>
    </xf>
    <xf numFmtId="3" fontId="16" fillId="11" borderId="17" xfId="0" applyNumberFormat="1" applyFont="1" applyFill="1" applyBorder="1" applyAlignment="1" applyProtection="1">
      <alignment/>
      <protection locked="0"/>
    </xf>
    <xf numFmtId="4" fontId="16" fillId="28" borderId="17" xfId="0" applyNumberFormat="1" applyFont="1" applyFill="1" applyBorder="1" applyAlignment="1" applyProtection="1">
      <alignment/>
      <protection locked="0"/>
    </xf>
    <xf numFmtId="2" fontId="16" fillId="27" borderId="17" xfId="0" applyNumberFormat="1" applyFont="1" applyFill="1" applyBorder="1" applyAlignment="1" applyProtection="1">
      <alignment/>
      <protection locked="0"/>
    </xf>
    <xf numFmtId="4" fontId="16" fillId="24" borderId="17" xfId="0" applyNumberFormat="1" applyFont="1" applyFill="1" applyBorder="1" applyAlignment="1" applyProtection="1">
      <alignment/>
      <protection locked="0"/>
    </xf>
    <xf numFmtId="2" fontId="16" fillId="8" borderId="17" xfId="0" applyNumberFormat="1" applyFont="1" applyFill="1" applyBorder="1" applyAlignment="1" applyProtection="1">
      <alignment/>
      <protection locked="0"/>
    </xf>
    <xf numFmtId="3" fontId="16" fillId="8" borderId="17" xfId="0" applyNumberFormat="1" applyFont="1" applyFill="1" applyBorder="1" applyAlignment="1" applyProtection="1">
      <alignment/>
      <protection locked="0"/>
    </xf>
    <xf numFmtId="43" fontId="16" fillId="8" borderId="17" xfId="52" applyFont="1" applyFill="1" applyBorder="1" applyAlignment="1" applyProtection="1">
      <alignment/>
      <protection locked="0"/>
    </xf>
    <xf numFmtId="4" fontId="16" fillId="11" borderId="17" xfId="0" applyNumberFormat="1" applyFont="1" applyFill="1" applyBorder="1" applyAlignment="1" applyProtection="1">
      <alignment/>
      <protection locked="0"/>
    </xf>
    <xf numFmtId="43" fontId="16" fillId="11" borderId="17" xfId="52" applyFont="1" applyFill="1" applyBorder="1" applyAlignment="1" applyProtection="1">
      <alignment/>
      <protection locked="0"/>
    </xf>
    <xf numFmtId="0" fontId="16" fillId="0" borderId="17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 applyProtection="1">
      <alignment/>
      <protection locked="0"/>
    </xf>
    <xf numFmtId="3" fontId="16" fillId="0" borderId="13" xfId="0" applyNumberFormat="1" applyFont="1" applyFill="1" applyBorder="1" applyAlignment="1" applyProtection="1">
      <alignment/>
      <protection locked="0"/>
    </xf>
    <xf numFmtId="3" fontId="12" fillId="0" borderId="0" xfId="0" applyNumberFormat="1" applyAlignment="1">
      <alignment/>
    </xf>
    <xf numFmtId="43" fontId="16" fillId="28" borderId="17" xfId="52" applyFont="1" applyFill="1" applyBorder="1" applyAlignment="1" applyProtection="1">
      <alignment/>
      <protection locked="0"/>
    </xf>
    <xf numFmtId="43" fontId="16" fillId="22" borderId="17" xfId="52" applyFont="1" applyFill="1" applyBorder="1" applyAlignment="1" applyProtection="1">
      <alignment/>
      <protection locked="0"/>
    </xf>
    <xf numFmtId="3" fontId="16" fillId="22" borderId="17" xfId="0" applyNumberFormat="1" applyFont="1" applyFill="1" applyBorder="1" applyAlignment="1" applyProtection="1">
      <alignment/>
      <protection locked="0"/>
    </xf>
    <xf numFmtId="2" fontId="4" fillId="22" borderId="18" xfId="0" applyNumberFormat="1" applyFont="1" applyFill="1" applyBorder="1" applyAlignment="1">
      <alignment/>
    </xf>
    <xf numFmtId="3" fontId="4" fillId="22" borderId="18" xfId="0" applyNumberFormat="1" applyFont="1" applyFill="1" applyBorder="1" applyAlignment="1">
      <alignment/>
    </xf>
    <xf numFmtId="2" fontId="16" fillId="22" borderId="17" xfId="0" applyNumberFormat="1" applyFont="1" applyFill="1" applyBorder="1" applyAlignment="1" applyProtection="1">
      <alignment/>
      <protection locked="0"/>
    </xf>
    <xf numFmtId="43" fontId="16" fillId="0" borderId="13" xfId="52" applyFont="1" applyFill="1" applyBorder="1" applyAlignment="1" applyProtection="1">
      <alignment/>
      <protection locked="0"/>
    </xf>
    <xf numFmtId="3" fontId="16" fillId="0" borderId="19" xfId="0" applyNumberFormat="1" applyFont="1" applyFill="1" applyBorder="1" applyAlignment="1" applyProtection="1">
      <alignment/>
      <protection locked="0"/>
    </xf>
    <xf numFmtId="0" fontId="16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12" fillId="0" borderId="16" xfId="0" applyBorder="1" applyAlignment="1">
      <alignment/>
    </xf>
    <xf numFmtId="2" fontId="12" fillId="8" borderId="12" xfId="0" applyNumberFormat="1" applyFill="1" applyBorder="1" applyAlignment="1">
      <alignment/>
    </xf>
    <xf numFmtId="2" fontId="12" fillId="8" borderId="15" xfId="0" applyNumberFormat="1" applyFill="1" applyBorder="1" applyAlignment="1">
      <alignment/>
    </xf>
    <xf numFmtId="0" fontId="12" fillId="0" borderId="14" xfId="0" applyBorder="1" applyAlignment="1">
      <alignment/>
    </xf>
    <xf numFmtId="2" fontId="12" fillId="11" borderId="0" xfId="0" applyNumberFormat="1" applyFill="1" applyBorder="1" applyAlignment="1">
      <alignment/>
    </xf>
    <xf numFmtId="2" fontId="12" fillId="11" borderId="17" xfId="0" applyNumberFormat="1" applyFill="1" applyBorder="1" applyAlignment="1">
      <alignment/>
    </xf>
    <xf numFmtId="0" fontId="12" fillId="0" borderId="20" xfId="0" applyBorder="1" applyAlignment="1">
      <alignment/>
    </xf>
    <xf numFmtId="2" fontId="12" fillId="28" borderId="21" xfId="0" applyNumberFormat="1" applyFill="1" applyBorder="1" applyAlignment="1">
      <alignment/>
    </xf>
    <xf numFmtId="2" fontId="12" fillId="28" borderId="22" xfId="0" applyNumberFormat="1" applyFill="1" applyBorder="1" applyAlignment="1">
      <alignment/>
    </xf>
    <xf numFmtId="0" fontId="12" fillId="0" borderId="11" xfId="0" applyBorder="1" applyAlignment="1">
      <alignment/>
    </xf>
    <xf numFmtId="0" fontId="12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2" fontId="12" fillId="22" borderId="16" xfId="0" applyNumberFormat="1" applyFill="1" applyBorder="1" applyAlignment="1">
      <alignment/>
    </xf>
    <xf numFmtId="3" fontId="12" fillId="22" borderId="15" xfId="0" applyNumberFormat="1" applyFill="1" applyBorder="1" applyAlignment="1">
      <alignment/>
    </xf>
    <xf numFmtId="2" fontId="12" fillId="4" borderId="14" xfId="0" applyNumberFormat="1" applyFill="1" applyBorder="1" applyAlignment="1">
      <alignment/>
    </xf>
    <xf numFmtId="3" fontId="12" fillId="4" borderId="17" xfId="0" applyNumberFormat="1" applyFill="1" applyBorder="1" applyAlignment="1">
      <alignment/>
    </xf>
    <xf numFmtId="2" fontId="12" fillId="27" borderId="14" xfId="0" applyNumberFormat="1" applyFill="1" applyBorder="1" applyAlignment="1">
      <alignment/>
    </xf>
    <xf numFmtId="3" fontId="12" fillId="27" borderId="17" xfId="0" applyNumberFormat="1" applyFill="1" applyBorder="1" applyAlignment="1">
      <alignment/>
    </xf>
    <xf numFmtId="2" fontId="12" fillId="8" borderId="14" xfId="0" applyNumberFormat="1" applyFill="1" applyBorder="1" applyAlignment="1">
      <alignment/>
    </xf>
    <xf numFmtId="3" fontId="12" fillId="8" borderId="17" xfId="0" applyNumberFormat="1" applyFill="1" applyBorder="1" applyAlignment="1">
      <alignment/>
    </xf>
    <xf numFmtId="2" fontId="12" fillId="11" borderId="14" xfId="0" applyNumberFormat="1" applyFill="1" applyBorder="1" applyAlignment="1">
      <alignment/>
    </xf>
    <xf numFmtId="3" fontId="12" fillId="11" borderId="17" xfId="0" applyNumberFormat="1" applyFill="1" applyBorder="1" applyAlignment="1">
      <alignment/>
    </xf>
    <xf numFmtId="0" fontId="12" fillId="0" borderId="21" xfId="0" applyBorder="1" applyAlignment="1">
      <alignment/>
    </xf>
    <xf numFmtId="2" fontId="12" fillId="28" borderId="20" xfId="0" applyNumberFormat="1" applyFill="1" applyBorder="1" applyAlignment="1">
      <alignment/>
    </xf>
    <xf numFmtId="3" fontId="12" fillId="28" borderId="22" xfId="0" applyNumberFormat="1" applyFill="1" applyBorder="1" applyAlignment="1">
      <alignment/>
    </xf>
    <xf numFmtId="0" fontId="0" fillId="0" borderId="0" xfId="0" applyFont="1" applyAlignment="1">
      <alignment/>
    </xf>
    <xf numFmtId="41" fontId="3" fillId="25" borderId="10" xfId="0" applyNumberFormat="1" applyFont="1" applyFill="1" applyBorder="1" applyAlignment="1">
      <alignment/>
    </xf>
    <xf numFmtId="3" fontId="3" fillId="25" borderId="10" xfId="0" applyNumberFormat="1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/>
      <protection locked="0"/>
    </xf>
    <xf numFmtId="2" fontId="12" fillId="0" borderId="0" xfId="0" applyNumberFormat="1" applyFill="1" applyBorder="1" applyAlignment="1">
      <alignment/>
    </xf>
    <xf numFmtId="0" fontId="27" fillId="24" borderId="0" xfId="0" applyFont="1" applyFill="1" applyBorder="1" applyAlignment="1">
      <alignment/>
    </xf>
    <xf numFmtId="2" fontId="12" fillId="8" borderId="12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2" fontId="12" fillId="4" borderId="0" xfId="0" applyNumberFormat="1" applyFill="1" applyAlignment="1">
      <alignment/>
    </xf>
    <xf numFmtId="3" fontId="0" fillId="4" borderId="0" xfId="0" applyNumberFormat="1" applyFill="1" applyBorder="1" applyAlignment="1">
      <alignment/>
    </xf>
    <xf numFmtId="3" fontId="3" fillId="4" borderId="0" xfId="0" applyNumberFormat="1" applyFont="1" applyFill="1" applyBorder="1" applyAlignment="1">
      <alignment horizontal="center" textRotation="90"/>
    </xf>
    <xf numFmtId="2" fontId="16" fillId="0" borderId="15" xfId="0" applyNumberFormat="1" applyFont="1" applyFill="1" applyBorder="1" applyAlignment="1" applyProtection="1">
      <alignment/>
      <protection locked="0"/>
    </xf>
    <xf numFmtId="3" fontId="16" fillId="0" borderId="15" xfId="0" applyNumberFormat="1" applyFont="1" applyFill="1" applyBorder="1" applyAlignment="1" applyProtection="1">
      <alignment/>
      <protection locked="0"/>
    </xf>
    <xf numFmtId="2" fontId="16" fillId="0" borderId="17" xfId="0" applyNumberFormat="1" applyFont="1" applyFill="1" applyBorder="1" applyAlignment="1" applyProtection="1">
      <alignment/>
      <protection locked="0"/>
    </xf>
    <xf numFmtId="3" fontId="16" fillId="0" borderId="17" xfId="0" applyNumberFormat="1" applyFont="1" applyFill="1" applyBorder="1" applyAlignment="1" applyProtection="1">
      <alignment/>
      <protection locked="0"/>
    </xf>
    <xf numFmtId="39" fontId="17" fillId="0" borderId="23" xfId="61" applyNumberFormat="1" applyFont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>
      <alignment/>
    </xf>
    <xf numFmtId="0" fontId="12" fillId="0" borderId="13" xfId="0" applyBorder="1" applyAlignment="1">
      <alignment/>
    </xf>
    <xf numFmtId="3" fontId="16" fillId="0" borderId="19" xfId="0" applyNumberFormat="1" applyFont="1" applyFill="1" applyBorder="1" applyAlignment="1">
      <alignment/>
    </xf>
    <xf numFmtId="0" fontId="12" fillId="0" borderId="10" xfId="0" applyFill="1" applyBorder="1" applyAlignment="1">
      <alignment/>
    </xf>
    <xf numFmtId="3" fontId="12" fillId="0" borderId="13" xfId="0" applyNumberFormat="1" applyFill="1" applyBorder="1" applyAlignment="1">
      <alignment/>
    </xf>
    <xf numFmtId="3" fontId="12" fillId="0" borderId="11" xfId="0" applyNumberFormat="1" applyFill="1" applyBorder="1" applyAlignment="1">
      <alignment/>
    </xf>
    <xf numFmtId="0" fontId="18" fillId="0" borderId="11" xfId="0" applyFont="1" applyFill="1" applyBorder="1" applyAlignment="1">
      <alignment/>
    </xf>
    <xf numFmtId="0" fontId="29" fillId="0" borderId="0" xfId="0" applyFont="1" applyAlignment="1">
      <alignment/>
    </xf>
    <xf numFmtId="39" fontId="23" fillId="0" borderId="16" xfId="61" applyNumberFormat="1" applyFont="1" applyFill="1" applyBorder="1" applyAlignment="1">
      <alignment horizontal="left"/>
      <protection/>
    </xf>
    <xf numFmtId="39" fontId="23" fillId="0" borderId="15" xfId="61" applyNumberFormat="1" applyFont="1" applyFill="1" applyBorder="1" applyAlignment="1">
      <alignment horizontal="center"/>
      <protection/>
    </xf>
    <xf numFmtId="0" fontId="16" fillId="24" borderId="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3" fontId="12" fillId="0" borderId="13" xfId="0" applyNumberFormat="1" applyBorder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0" fontId="16" fillId="24" borderId="12" xfId="0" applyFont="1" applyFill="1" applyBorder="1" applyAlignment="1">
      <alignment/>
    </xf>
    <xf numFmtId="0" fontId="12" fillId="0" borderId="19" xfId="0" applyBorder="1" applyAlignment="1">
      <alignment/>
    </xf>
    <xf numFmtId="2" fontId="16" fillId="28" borderId="23" xfId="0" applyNumberFormat="1" applyFont="1" applyFill="1" applyBorder="1" applyAlignment="1" applyProtection="1">
      <alignment/>
      <protection locked="0"/>
    </xf>
    <xf numFmtId="3" fontId="16" fillId="28" borderId="22" xfId="0" applyNumberFormat="1" applyFont="1" applyFill="1" applyBorder="1" applyAlignment="1" applyProtection="1">
      <alignment/>
      <protection locked="0"/>
    </xf>
    <xf numFmtId="2" fontId="16" fillId="4" borderId="23" xfId="0" applyNumberFormat="1" applyFont="1" applyFill="1" applyBorder="1" applyAlignment="1" applyProtection="1">
      <alignment/>
      <protection locked="0"/>
    </xf>
    <xf numFmtId="2" fontId="16" fillId="27" borderId="23" xfId="0" applyNumberFormat="1" applyFont="1" applyFill="1" applyBorder="1" applyAlignment="1" applyProtection="1">
      <alignment/>
      <protection locked="0"/>
    </xf>
    <xf numFmtId="2" fontId="16" fillId="11" borderId="23" xfId="0" applyNumberFormat="1" applyFont="1" applyFill="1" applyBorder="1" applyAlignment="1" applyProtection="1">
      <alignment/>
      <protection locked="0"/>
    </xf>
    <xf numFmtId="2" fontId="16" fillId="8" borderId="23" xfId="0" applyNumberFormat="1" applyFont="1" applyFill="1" applyBorder="1" applyAlignment="1" applyProtection="1">
      <alignment/>
      <protection locked="0"/>
    </xf>
    <xf numFmtId="0" fontId="12" fillId="0" borderId="21" xfId="0" applyFill="1" applyBorder="1" applyAlignment="1">
      <alignment/>
    </xf>
    <xf numFmtId="0" fontId="12" fillId="0" borderId="19" xfId="0" applyFill="1" applyBorder="1" applyAlignment="1">
      <alignment/>
    </xf>
    <xf numFmtId="3" fontId="12" fillId="0" borderId="22" xfId="0" applyNumberFormat="1" applyFill="1" applyBorder="1" applyAlignment="1">
      <alignment/>
    </xf>
    <xf numFmtId="0" fontId="16" fillId="0" borderId="15" xfId="0" applyFont="1" applyFill="1" applyBorder="1" applyAlignment="1">
      <alignment/>
    </xf>
    <xf numFmtId="39" fontId="17" fillId="0" borderId="14" xfId="61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2" fontId="16" fillId="28" borderId="24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2" fontId="16" fillId="22" borderId="18" xfId="0" applyNumberFormat="1" applyFont="1" applyFill="1" applyBorder="1" applyAlignment="1" applyProtection="1">
      <alignment/>
      <protection locked="0"/>
    </xf>
    <xf numFmtId="3" fontId="16" fillId="22" borderId="22" xfId="0" applyNumberFormat="1" applyFont="1" applyFill="1" applyBorder="1" applyAlignment="1" applyProtection="1">
      <alignment/>
      <protection locked="0"/>
    </xf>
    <xf numFmtId="0" fontId="16" fillId="4" borderId="23" xfId="0" applyFont="1" applyFill="1" applyBorder="1" applyAlignment="1" applyProtection="1">
      <alignment/>
      <protection locked="0"/>
    </xf>
    <xf numFmtId="39" fontId="17" fillId="0" borderId="24" xfId="61" applyNumberFormat="1" applyFont="1" applyBorder="1" applyAlignment="1" applyProtection="1">
      <alignment/>
      <protection locked="0"/>
    </xf>
    <xf numFmtId="0" fontId="17" fillId="0" borderId="20" xfId="62" applyFont="1" applyFill="1" applyBorder="1" applyAlignment="1" applyProtection="1">
      <alignment horizontal="left"/>
      <protection locked="0"/>
    </xf>
    <xf numFmtId="0" fontId="16" fillId="0" borderId="20" xfId="0" applyFont="1" applyFill="1" applyBorder="1" applyAlignment="1">
      <alignment/>
    </xf>
    <xf numFmtId="0" fontId="16" fillId="24" borderId="22" xfId="0" applyFont="1" applyFill="1" applyBorder="1" applyAlignment="1">
      <alignment/>
    </xf>
    <xf numFmtId="43" fontId="16" fillId="4" borderId="24" xfId="52" applyFont="1" applyFill="1" applyBorder="1" applyAlignment="1" applyProtection="1">
      <alignment/>
      <protection locked="0"/>
    </xf>
    <xf numFmtId="43" fontId="16" fillId="27" borderId="23" xfId="52" applyFont="1" applyFill="1" applyBorder="1" applyAlignment="1" applyProtection="1">
      <alignment/>
      <protection locked="0"/>
    </xf>
    <xf numFmtId="43" fontId="16" fillId="8" borderId="23" xfId="52" applyFont="1" applyFill="1" applyBorder="1" applyAlignment="1" applyProtection="1">
      <alignment/>
      <protection locked="0"/>
    </xf>
    <xf numFmtId="43" fontId="16" fillId="11" borderId="23" xfId="52" applyFont="1" applyFill="1" applyBorder="1" applyAlignment="1" applyProtection="1">
      <alignment/>
      <protection locked="0"/>
    </xf>
    <xf numFmtId="43" fontId="16" fillId="28" borderId="23" xfId="52" applyFont="1" applyFill="1" applyBorder="1" applyAlignment="1" applyProtection="1">
      <alignment/>
      <protection locked="0"/>
    </xf>
    <xf numFmtId="43" fontId="16" fillId="22" borderId="23" xfId="52" applyFont="1" applyFill="1" applyBorder="1" applyAlignment="1" applyProtection="1">
      <alignment/>
      <protection locked="0"/>
    </xf>
    <xf numFmtId="0" fontId="20" fillId="0" borderId="11" xfId="0" applyFont="1" applyBorder="1" applyAlignment="1">
      <alignment/>
    </xf>
    <xf numFmtId="0" fontId="16" fillId="0" borderId="10" xfId="0" applyFont="1" applyFill="1" applyBorder="1" applyAlignment="1">
      <alignment/>
    </xf>
    <xf numFmtId="2" fontId="16" fillId="0" borderId="19" xfId="0" applyNumberFormat="1" applyFont="1" applyFill="1" applyBorder="1" applyAlignment="1" applyProtection="1">
      <alignment/>
      <protection locked="0"/>
    </xf>
    <xf numFmtId="0" fontId="16" fillId="28" borderId="22" xfId="0" applyFont="1" applyFill="1" applyBorder="1" applyAlignment="1" applyProtection="1">
      <alignment/>
      <protection locked="0"/>
    </xf>
    <xf numFmtId="0" fontId="20" fillId="0" borderId="2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12" fillId="0" borderId="16" xfId="0" applyNumberFormat="1" applyFill="1" applyBorder="1" applyAlignment="1">
      <alignment/>
    </xf>
    <xf numFmtId="3" fontId="12" fillId="0" borderId="15" xfId="0" applyNumberFormat="1" applyFill="1" applyBorder="1" applyAlignment="1">
      <alignment/>
    </xf>
    <xf numFmtId="2" fontId="12" fillId="0" borderId="14" xfId="0" applyNumberFormat="1" applyFill="1" applyBorder="1" applyAlignment="1">
      <alignment/>
    </xf>
    <xf numFmtId="3" fontId="12" fillId="0" borderId="17" xfId="0" applyNumberFormat="1" applyFill="1" applyBorder="1" applyAlignment="1">
      <alignment/>
    </xf>
    <xf numFmtId="2" fontId="12" fillId="0" borderId="20" xfId="0" applyNumberFormat="1" applyFill="1" applyBorder="1" applyAlignment="1">
      <alignment/>
    </xf>
    <xf numFmtId="41" fontId="4" fillId="22" borderId="0" xfId="52" applyNumberFormat="1" applyFont="1" applyFill="1" applyBorder="1" applyAlignment="1" applyProtection="1">
      <alignment horizontal="right"/>
      <protection locked="0"/>
    </xf>
    <xf numFmtId="176" fontId="4" fillId="22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26" fillId="0" borderId="0" xfId="0" applyFont="1" applyFill="1" applyBorder="1" applyAlignment="1">
      <alignment/>
    </xf>
    <xf numFmtId="39" fontId="23" fillId="0" borderId="19" xfId="61" applyNumberFormat="1" applyFont="1" applyFill="1" applyBorder="1" applyAlignment="1">
      <alignment horizontal="left"/>
      <protection/>
    </xf>
    <xf numFmtId="41" fontId="21" fillId="4" borderId="0" xfId="0" applyNumberFormat="1" applyFont="1" applyFill="1" applyAlignment="1">
      <alignment/>
    </xf>
    <xf numFmtId="2" fontId="16" fillId="24" borderId="12" xfId="0" applyNumberFormat="1" applyFont="1" applyFill="1" applyBorder="1" applyAlignment="1" applyProtection="1">
      <alignment/>
      <protection locked="0"/>
    </xf>
    <xf numFmtId="2" fontId="16" fillId="24" borderId="0" xfId="0" applyNumberFormat="1" applyFont="1" applyFill="1" applyBorder="1" applyAlignment="1" applyProtection="1">
      <alignment/>
      <protection locked="0"/>
    </xf>
    <xf numFmtId="2" fontId="16" fillId="11" borderId="0" xfId="0" applyNumberFormat="1" applyFont="1" applyFill="1" applyBorder="1" applyAlignment="1" applyProtection="1">
      <alignment/>
      <protection locked="0"/>
    </xf>
    <xf numFmtId="2" fontId="16" fillId="8" borderId="0" xfId="0" applyNumberFormat="1" applyFont="1" applyFill="1" applyBorder="1" applyAlignment="1" applyProtection="1">
      <alignment/>
      <protection locked="0"/>
    </xf>
    <xf numFmtId="2" fontId="16" fillId="27" borderId="0" xfId="0" applyNumberFormat="1" applyFont="1" applyFill="1" applyBorder="1" applyAlignment="1" applyProtection="1">
      <alignment/>
      <protection locked="0"/>
    </xf>
    <xf numFmtId="2" fontId="16" fillId="4" borderId="0" xfId="0" applyNumberFormat="1" applyFont="1" applyFill="1" applyBorder="1" applyAlignment="1" applyProtection="1">
      <alignment/>
      <protection locked="0"/>
    </xf>
    <xf numFmtId="2" fontId="4" fillId="22" borderId="20" xfId="0" applyNumberFormat="1" applyFont="1" applyFill="1" applyBorder="1" applyAlignment="1">
      <alignment/>
    </xf>
    <xf numFmtId="3" fontId="16" fillId="0" borderId="22" xfId="0" applyNumberFormat="1" applyFont="1" applyFill="1" applyBorder="1" applyAlignment="1" applyProtection="1">
      <alignment/>
      <protection locked="0"/>
    </xf>
    <xf numFmtId="2" fontId="16" fillId="22" borderId="0" xfId="0" applyNumberFormat="1" applyFont="1" applyFill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39" fontId="23" fillId="0" borderId="10" xfId="61" applyNumberFormat="1" applyFont="1" applyFill="1" applyBorder="1" applyAlignment="1">
      <alignment horizontal="center"/>
      <protection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2" fontId="16" fillId="28" borderId="0" xfId="0" applyNumberFormat="1" applyFont="1" applyFill="1" applyBorder="1" applyAlignment="1" applyProtection="1">
      <alignment/>
      <protection locked="0"/>
    </xf>
    <xf numFmtId="3" fontId="16" fillId="0" borderId="18" xfId="0" applyNumberFormat="1" applyFont="1" applyFill="1" applyBorder="1" applyAlignment="1" applyProtection="1">
      <alignment/>
      <protection locked="0"/>
    </xf>
    <xf numFmtId="2" fontId="16" fillId="0" borderId="10" xfId="0" applyNumberFormat="1" applyFont="1" applyFill="1" applyBorder="1" applyAlignment="1" applyProtection="1">
      <alignment/>
      <protection locked="0"/>
    </xf>
    <xf numFmtId="2" fontId="16" fillId="24" borderId="23" xfId="0" applyNumberFormat="1" applyFont="1" applyFill="1" applyBorder="1" applyAlignment="1" applyProtection="1">
      <alignment/>
      <protection locked="0"/>
    </xf>
    <xf numFmtId="0" fontId="3" fillId="0" borderId="19" xfId="0" applyFont="1" applyFill="1" applyBorder="1" applyAlignment="1">
      <alignment/>
    </xf>
    <xf numFmtId="43" fontId="16" fillId="27" borderId="0" xfId="52" applyFont="1" applyFill="1" applyBorder="1" applyAlignment="1" applyProtection="1">
      <alignment/>
      <protection locked="0"/>
    </xf>
    <xf numFmtId="43" fontId="16" fillId="8" borderId="0" xfId="52" applyFont="1" applyFill="1" applyBorder="1" applyAlignment="1" applyProtection="1">
      <alignment/>
      <protection locked="0"/>
    </xf>
    <xf numFmtId="43" fontId="16" fillId="11" borderId="0" xfId="52" applyFont="1" applyFill="1" applyBorder="1" applyAlignment="1" applyProtection="1">
      <alignment/>
      <protection locked="0"/>
    </xf>
    <xf numFmtId="43" fontId="16" fillId="28" borderId="0" xfId="52" applyFont="1" applyFill="1" applyBorder="1" applyAlignment="1" applyProtection="1">
      <alignment/>
      <protection locked="0"/>
    </xf>
    <xf numFmtId="3" fontId="16" fillId="28" borderId="0" xfId="0" applyNumberFormat="1" applyFont="1" applyFill="1" applyBorder="1" applyAlignment="1" applyProtection="1">
      <alignment/>
      <protection locked="0"/>
    </xf>
    <xf numFmtId="43" fontId="16" fillId="22" borderId="0" xfId="52" applyFont="1" applyFill="1" applyBorder="1" applyAlignment="1" applyProtection="1">
      <alignment/>
      <protection locked="0"/>
    </xf>
    <xf numFmtId="0" fontId="16" fillId="0" borderId="21" xfId="0" applyFont="1" applyFill="1" applyBorder="1" applyAlignment="1">
      <alignment/>
    </xf>
    <xf numFmtId="39" fontId="23" fillId="0" borderId="12" xfId="61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/>
    </xf>
    <xf numFmtId="39" fontId="23" fillId="0" borderId="24" xfId="61" applyNumberFormat="1" applyFont="1" applyFill="1" applyBorder="1" applyAlignment="1">
      <alignment horizontal="left"/>
      <protection/>
    </xf>
    <xf numFmtId="2" fontId="16" fillId="22" borderId="12" xfId="0" applyNumberFormat="1" applyFont="1" applyFill="1" applyBorder="1" applyAlignment="1" applyProtection="1">
      <alignment/>
      <protection locked="0"/>
    </xf>
    <xf numFmtId="43" fontId="16" fillId="4" borderId="12" xfId="52" applyFont="1" applyFill="1" applyBorder="1" applyAlignment="1" applyProtection="1">
      <alignment/>
      <protection locked="0"/>
    </xf>
    <xf numFmtId="2" fontId="16" fillId="28" borderId="12" xfId="0" applyNumberFormat="1" applyFont="1" applyFill="1" applyBorder="1" applyAlignment="1" applyProtection="1">
      <alignment/>
      <protection locked="0"/>
    </xf>
    <xf numFmtId="0" fontId="12" fillId="0" borderId="11" xfId="0" applyFill="1" applyBorder="1" applyAlignment="1">
      <alignment/>
    </xf>
    <xf numFmtId="0" fontId="12" fillId="0" borderId="14" xfId="0" applyFill="1" applyBorder="1" applyAlignment="1">
      <alignment/>
    </xf>
    <xf numFmtId="0" fontId="12" fillId="0" borderId="20" xfId="0" applyFill="1" applyBorder="1" applyAlignment="1">
      <alignment/>
    </xf>
    <xf numFmtId="39" fontId="17" fillId="0" borderId="0" xfId="61" applyNumberFormat="1" applyFont="1" applyBorder="1" applyAlignment="1" applyProtection="1">
      <alignment/>
      <protection locked="0"/>
    </xf>
    <xf numFmtId="2" fontId="4" fillId="22" borderId="22" xfId="0" applyNumberFormat="1" applyFont="1" applyFill="1" applyBorder="1" applyAlignment="1">
      <alignment/>
    </xf>
    <xf numFmtId="0" fontId="16" fillId="24" borderId="20" xfId="0" applyFont="1" applyFill="1" applyBorder="1" applyAlignment="1">
      <alignment/>
    </xf>
    <xf numFmtId="0" fontId="16" fillId="0" borderId="19" xfId="0" applyFont="1" applyFill="1" applyBorder="1" applyAlignment="1" applyProtection="1">
      <alignment/>
      <protection locked="0"/>
    </xf>
    <xf numFmtId="39" fontId="19" fillId="0" borderId="14" xfId="61" applyNumberFormat="1" applyFont="1" applyBorder="1" applyAlignment="1" applyProtection="1">
      <alignment/>
      <protection locked="0"/>
    </xf>
    <xf numFmtId="2" fontId="16" fillId="22" borderId="23" xfId="0" applyNumberFormat="1" applyFont="1" applyFill="1" applyBorder="1" applyAlignment="1" applyProtection="1">
      <alignment/>
      <protection locked="0"/>
    </xf>
    <xf numFmtId="4" fontId="16" fillId="11" borderId="23" xfId="0" applyNumberFormat="1" applyFont="1" applyFill="1" applyBorder="1" applyAlignment="1" applyProtection="1">
      <alignment/>
      <protection locked="0"/>
    </xf>
    <xf numFmtId="4" fontId="16" fillId="28" borderId="23" xfId="0" applyNumberFormat="1" applyFont="1" applyFill="1" applyBorder="1" applyAlignment="1" applyProtection="1">
      <alignment/>
      <protection locked="0"/>
    </xf>
    <xf numFmtId="2" fontId="16" fillId="11" borderId="24" xfId="0" applyNumberFormat="1" applyFont="1" applyFill="1" applyBorder="1" applyAlignment="1" applyProtection="1">
      <alignment/>
      <protection locked="0"/>
    </xf>
    <xf numFmtId="3" fontId="16" fillId="11" borderId="15" xfId="0" applyNumberFormat="1" applyFont="1" applyFill="1" applyBorder="1" applyAlignment="1" applyProtection="1">
      <alignment/>
      <protection locked="0"/>
    </xf>
    <xf numFmtId="0" fontId="16" fillId="22" borderId="23" xfId="0" applyFont="1" applyFill="1" applyBorder="1" applyAlignment="1" applyProtection="1">
      <alignment/>
      <protection locked="0"/>
    </xf>
    <xf numFmtId="0" fontId="16" fillId="22" borderId="18" xfId="0" applyFont="1" applyFill="1" applyBorder="1" applyAlignment="1" applyProtection="1">
      <alignment/>
      <protection locked="0"/>
    </xf>
    <xf numFmtId="43" fontId="16" fillId="4" borderId="17" xfId="52" applyFont="1" applyFill="1" applyBorder="1" applyAlignment="1" applyProtection="1">
      <alignment/>
      <protection locked="0"/>
    </xf>
    <xf numFmtId="43" fontId="16" fillId="28" borderId="15" xfId="52" applyFont="1" applyFill="1" applyBorder="1" applyAlignment="1" applyProtection="1">
      <alignment/>
      <protection locked="0"/>
    </xf>
    <xf numFmtId="0" fontId="16" fillId="24" borderId="11" xfId="0" applyFont="1" applyFill="1" applyBorder="1" applyAlignment="1">
      <alignment/>
    </xf>
    <xf numFmtId="2" fontId="16" fillId="11" borderId="15" xfId="0" applyNumberFormat="1" applyFont="1" applyFill="1" applyBorder="1" applyAlignment="1" applyProtection="1">
      <alignment/>
      <protection locked="0"/>
    </xf>
    <xf numFmtId="1" fontId="12" fillId="0" borderId="0" xfId="0" applyNumberFormat="1" applyAlignment="1">
      <alignment/>
    </xf>
    <xf numFmtId="0" fontId="16" fillId="24" borderId="10" xfId="0" applyFont="1" applyFill="1" applyBorder="1" applyAlignment="1">
      <alignment/>
    </xf>
    <xf numFmtId="0" fontId="16" fillId="24" borderId="21" xfId="0" applyFont="1" applyFill="1" applyBorder="1" applyAlignment="1">
      <alignment/>
    </xf>
    <xf numFmtId="41" fontId="3" fillId="4" borderId="0" xfId="0" applyNumberFormat="1" applyFont="1" applyFill="1" applyBorder="1" applyAlignment="1">
      <alignment horizontal="center" textRotation="90"/>
    </xf>
    <xf numFmtId="3" fontId="20" fillId="4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1" fontId="15" fillId="20" borderId="0" xfId="0" applyNumberFormat="1" applyFont="1" applyFill="1" applyBorder="1" applyAlignment="1">
      <alignment horizontal="center" textRotation="90"/>
    </xf>
    <xf numFmtId="0" fontId="12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12" fillId="0" borderId="22" xfId="0" applyFill="1" applyBorder="1" applyAlignment="1">
      <alignment/>
    </xf>
    <xf numFmtId="0" fontId="3" fillId="0" borderId="24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6" fillId="22" borderId="24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27" borderId="23" xfId="0" applyFont="1" applyFill="1" applyBorder="1" applyAlignment="1">
      <alignment/>
    </xf>
    <xf numFmtId="0" fontId="16" fillId="8" borderId="23" xfId="0" applyFont="1" applyFill="1" applyBorder="1" applyAlignment="1">
      <alignment/>
    </xf>
    <xf numFmtId="0" fontId="16" fillId="11" borderId="23" xfId="0" applyFont="1" applyFill="1" applyBorder="1" applyAlignment="1">
      <alignment/>
    </xf>
    <xf numFmtId="0" fontId="16" fillId="28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22" borderId="23" xfId="0" applyFont="1" applyFill="1" applyBorder="1" applyAlignment="1">
      <alignment/>
    </xf>
    <xf numFmtId="0" fontId="16" fillId="28" borderId="18" xfId="0" applyFont="1" applyFill="1" applyBorder="1" applyAlignment="1">
      <alignment/>
    </xf>
    <xf numFmtId="2" fontId="50" fillId="22" borderId="24" xfId="0" applyNumberFormat="1" applyFont="1" applyFill="1" applyBorder="1" applyAlignment="1">
      <alignment/>
    </xf>
    <xf numFmtId="2" fontId="50" fillId="4" borderId="23" xfId="0" applyNumberFormat="1" applyFont="1" applyFill="1" applyBorder="1" applyAlignment="1">
      <alignment/>
    </xf>
    <xf numFmtId="2" fontId="50" fillId="27" borderId="23" xfId="0" applyNumberFormat="1" applyFont="1" applyFill="1" applyBorder="1" applyAlignment="1">
      <alignment/>
    </xf>
    <xf numFmtId="2" fontId="50" fillId="8" borderId="23" xfId="0" applyNumberFormat="1" applyFont="1" applyFill="1" applyBorder="1" applyAlignment="1">
      <alignment/>
    </xf>
    <xf numFmtId="2" fontId="50" fillId="11" borderId="23" xfId="0" applyNumberFormat="1" applyFont="1" applyFill="1" applyBorder="1" applyAlignment="1">
      <alignment/>
    </xf>
    <xf numFmtId="2" fontId="50" fillId="22" borderId="16" xfId="0" applyNumberFormat="1" applyFont="1" applyFill="1" applyBorder="1" applyAlignment="1">
      <alignment/>
    </xf>
    <xf numFmtId="2" fontId="50" fillId="4" borderId="14" xfId="0" applyNumberFormat="1" applyFont="1" applyFill="1" applyBorder="1" applyAlignment="1">
      <alignment/>
    </xf>
    <xf numFmtId="2" fontId="50" fillId="27" borderId="14" xfId="0" applyNumberFormat="1" applyFont="1" applyFill="1" applyBorder="1" applyAlignment="1">
      <alignment/>
    </xf>
    <xf numFmtId="2" fontId="50" fillId="8" borderId="14" xfId="0" applyNumberFormat="1" applyFont="1" applyFill="1" applyBorder="1" applyAlignment="1">
      <alignment/>
    </xf>
    <xf numFmtId="2" fontId="50" fillId="11" borderId="14" xfId="0" applyNumberFormat="1" applyFont="1" applyFill="1" applyBorder="1" applyAlignment="1">
      <alignment/>
    </xf>
    <xf numFmtId="0" fontId="16" fillId="22" borderId="16" xfId="0" applyFont="1" applyFill="1" applyBorder="1" applyAlignment="1">
      <alignment/>
    </xf>
    <xf numFmtId="0" fontId="16" fillId="4" borderId="14" xfId="0" applyFont="1" applyFill="1" applyBorder="1" applyAlignment="1">
      <alignment/>
    </xf>
    <xf numFmtId="0" fontId="16" fillId="27" borderId="14" xfId="0" applyFont="1" applyFill="1" applyBorder="1" applyAlignment="1">
      <alignment/>
    </xf>
    <xf numFmtId="0" fontId="16" fillId="8" borderId="14" xfId="0" applyFont="1" applyFill="1" applyBorder="1" applyAlignment="1">
      <alignment/>
    </xf>
    <xf numFmtId="0" fontId="16" fillId="11" borderId="14" xfId="0" applyFont="1" applyFill="1" applyBorder="1" applyAlignment="1">
      <alignment/>
    </xf>
    <xf numFmtId="0" fontId="16" fillId="28" borderId="14" xfId="0" applyFont="1" applyFill="1" applyBorder="1" applyAlignment="1">
      <alignment/>
    </xf>
    <xf numFmtId="0" fontId="3" fillId="0" borderId="16" xfId="0" applyFont="1" applyBorder="1" applyAlignment="1">
      <alignment/>
    </xf>
    <xf numFmtId="2" fontId="49" fillId="22" borderId="16" xfId="0" applyNumberFormat="1" applyFont="1" applyFill="1" applyBorder="1" applyAlignment="1">
      <alignment/>
    </xf>
    <xf numFmtId="3" fontId="49" fillId="22" borderId="15" xfId="0" applyNumberFormat="1" applyFont="1" applyFill="1" applyBorder="1" applyAlignment="1">
      <alignment/>
    </xf>
    <xf numFmtId="2" fontId="49" fillId="4" borderId="14" xfId="0" applyNumberFormat="1" applyFont="1" applyFill="1" applyBorder="1" applyAlignment="1">
      <alignment/>
    </xf>
    <xf numFmtId="3" fontId="49" fillId="4" borderId="17" xfId="0" applyNumberFormat="1" applyFont="1" applyFill="1" applyBorder="1" applyAlignment="1">
      <alignment/>
    </xf>
    <xf numFmtId="2" fontId="49" fillId="27" borderId="14" xfId="0" applyNumberFormat="1" applyFont="1" applyFill="1" applyBorder="1" applyAlignment="1">
      <alignment/>
    </xf>
    <xf numFmtId="3" fontId="49" fillId="27" borderId="17" xfId="0" applyNumberFormat="1" applyFont="1" applyFill="1" applyBorder="1" applyAlignment="1">
      <alignment/>
    </xf>
    <xf numFmtId="2" fontId="49" fillId="8" borderId="14" xfId="0" applyNumberFormat="1" applyFont="1" applyFill="1" applyBorder="1" applyAlignment="1">
      <alignment/>
    </xf>
    <xf numFmtId="3" fontId="49" fillId="8" borderId="17" xfId="0" applyNumberFormat="1" applyFont="1" applyFill="1" applyBorder="1" applyAlignment="1">
      <alignment/>
    </xf>
    <xf numFmtId="2" fontId="49" fillId="11" borderId="14" xfId="0" applyNumberFormat="1" applyFont="1" applyFill="1" applyBorder="1" applyAlignment="1">
      <alignment/>
    </xf>
    <xf numFmtId="3" fontId="49" fillId="11" borderId="17" xfId="0" applyNumberFormat="1" applyFont="1" applyFill="1" applyBorder="1" applyAlignment="1">
      <alignment/>
    </xf>
    <xf numFmtId="2" fontId="49" fillId="28" borderId="20" xfId="0" applyNumberFormat="1" applyFont="1" applyFill="1" applyBorder="1" applyAlignment="1">
      <alignment/>
    </xf>
    <xf numFmtId="3" fontId="49" fillId="28" borderId="22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49" fillId="0" borderId="13" xfId="0" applyNumberFormat="1" applyFont="1" applyFill="1" applyBorder="1" applyAlignment="1">
      <alignment/>
    </xf>
    <xf numFmtId="2" fontId="49" fillId="28" borderId="14" xfId="0" applyNumberFormat="1" applyFont="1" applyFill="1" applyBorder="1" applyAlignment="1">
      <alignment/>
    </xf>
    <xf numFmtId="3" fontId="49" fillId="28" borderId="17" xfId="0" applyNumberFormat="1" applyFont="1" applyFill="1" applyBorder="1" applyAlignment="1">
      <alignment/>
    </xf>
    <xf numFmtId="41" fontId="4" fillId="20" borderId="0" xfId="0" applyNumberFormat="1" applyFont="1" applyFill="1" applyBorder="1" applyAlignment="1">
      <alignment/>
    </xf>
    <xf numFmtId="41" fontId="4" fillId="22" borderId="0" xfId="0" applyNumberFormat="1" applyFont="1" applyFill="1" applyBorder="1" applyAlignment="1">
      <alignment horizontal="right"/>
    </xf>
    <xf numFmtId="41" fontId="4" fillId="22" borderId="0" xfId="0" applyNumberFormat="1" applyFont="1" applyFill="1" applyBorder="1" applyAlignment="1">
      <alignment/>
    </xf>
    <xf numFmtId="2" fontId="4" fillId="22" borderId="0" xfId="52" applyNumberFormat="1" applyFont="1" applyFill="1" applyBorder="1" applyAlignment="1" applyProtection="1">
      <alignment horizontal="right"/>
      <protection locked="0"/>
    </xf>
    <xf numFmtId="2" fontId="4" fillId="22" borderId="0" xfId="0" applyNumberFormat="1" applyFont="1" applyFill="1" applyBorder="1" applyAlignment="1">
      <alignment horizontal="right"/>
    </xf>
    <xf numFmtId="2" fontId="4" fillId="22" borderId="0" xfId="0" applyNumberFormat="1" applyFont="1" applyFill="1" applyBorder="1" applyAlignment="1">
      <alignment/>
    </xf>
    <xf numFmtId="41" fontId="3" fillId="29" borderId="10" xfId="0" applyNumberFormat="1" applyFont="1" applyFill="1" applyBorder="1" applyAlignment="1">
      <alignment horizontal="center" textRotation="90"/>
    </xf>
    <xf numFmtId="41" fontId="3" fillId="30" borderId="0" xfId="0" applyNumberFormat="1" applyFont="1" applyFill="1" applyBorder="1" applyAlignment="1">
      <alignment horizontal="center" textRotation="90"/>
    </xf>
    <xf numFmtId="41" fontId="0" fillId="31" borderId="10" xfId="0" applyNumberFormat="1" applyFont="1" applyFill="1" applyBorder="1" applyAlignment="1">
      <alignment/>
    </xf>
    <xf numFmtId="2" fontId="4" fillId="30" borderId="0" xfId="0" applyNumberFormat="1" applyFont="1" applyFill="1" applyBorder="1" applyAlignment="1">
      <alignment/>
    </xf>
    <xf numFmtId="41" fontId="4" fillId="30" borderId="0" xfId="0" applyNumberFormat="1" applyFont="1" applyFill="1" applyBorder="1" applyAlignment="1">
      <alignment/>
    </xf>
    <xf numFmtId="41" fontId="4" fillId="32" borderId="0" xfId="0" applyNumberFormat="1" applyFont="1" applyFill="1" applyBorder="1" applyAlignment="1">
      <alignment horizontal="right"/>
    </xf>
    <xf numFmtId="41" fontId="4" fillId="30" borderId="0" xfId="0" applyNumberFormat="1" applyFont="1" applyFill="1" applyBorder="1" applyAlignment="1">
      <alignment horizontal="right"/>
    </xf>
    <xf numFmtId="41" fontId="4" fillId="30" borderId="0" xfId="62" applyNumberFormat="1" applyFont="1" applyFill="1" applyBorder="1" applyAlignment="1" applyProtection="1">
      <alignment horizontal="right"/>
      <protection locked="0"/>
    </xf>
    <xf numFmtId="41" fontId="4" fillId="30" borderId="0" xfId="52" applyNumberFormat="1" applyFont="1" applyFill="1" applyBorder="1" applyAlignment="1" applyProtection="1">
      <alignment horizontal="right"/>
      <protection locked="0"/>
    </xf>
    <xf numFmtId="41" fontId="4" fillId="29" borderId="0" xfId="0" applyNumberFormat="1" applyFont="1" applyFill="1" applyBorder="1" applyAlignment="1">
      <alignment/>
    </xf>
    <xf numFmtId="41" fontId="0" fillId="33" borderId="0" xfId="0" applyNumberFormat="1" applyFont="1" applyFill="1" applyAlignment="1">
      <alignment/>
    </xf>
    <xf numFmtId="41" fontId="4" fillId="22" borderId="0" xfId="62" applyNumberFormat="1" applyFont="1" applyFill="1" applyBorder="1" applyAlignment="1" applyProtection="1">
      <alignment horizontal="right"/>
      <protection locked="0"/>
    </xf>
    <xf numFmtId="41" fontId="4" fillId="32" borderId="0" xfId="54" applyNumberFormat="1" applyFont="1" applyFill="1" applyBorder="1" applyAlignment="1" applyProtection="1">
      <alignment horizontal="right"/>
      <protection locked="0"/>
    </xf>
    <xf numFmtId="41" fontId="4" fillId="30" borderId="0" xfId="62" applyNumberFormat="1" applyFont="1" applyFill="1" applyBorder="1" applyAlignment="1" applyProtection="1">
      <alignment horizontal="right"/>
      <protection/>
    </xf>
    <xf numFmtId="41" fontId="4" fillId="32" borderId="0" xfId="55" applyNumberFormat="1" applyFont="1" applyFill="1" applyBorder="1" applyAlignment="1" applyProtection="1">
      <alignment horizontal="right"/>
      <protection locked="0"/>
    </xf>
    <xf numFmtId="41" fontId="8" fillId="30" borderId="0" xfId="62" applyNumberFormat="1" applyFont="1" applyFill="1" applyBorder="1" applyAlignment="1" applyProtection="1">
      <alignment horizontal="right"/>
      <protection/>
    </xf>
    <xf numFmtId="41" fontId="4" fillId="32" borderId="0" xfId="62" applyNumberFormat="1" applyFont="1" applyFill="1" applyBorder="1" applyAlignment="1" applyProtection="1">
      <alignment horizontal="right"/>
      <protection locked="0"/>
    </xf>
    <xf numFmtId="41" fontId="4" fillId="30" borderId="0" xfId="54" applyNumberFormat="1" applyFont="1" applyFill="1" applyBorder="1" applyAlignment="1" applyProtection="1">
      <alignment horizontal="right"/>
      <protection locked="0"/>
    </xf>
    <xf numFmtId="41" fontId="4" fillId="30" borderId="0" xfId="55" applyNumberFormat="1" applyFont="1" applyFill="1" applyBorder="1" applyAlignment="1" applyProtection="1">
      <alignment horizontal="right"/>
      <protection locked="0"/>
    </xf>
    <xf numFmtId="41" fontId="4" fillId="22" borderId="0" xfId="54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/>
    </xf>
    <xf numFmtId="3" fontId="4" fillId="27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41" fontId="28" fillId="24" borderId="0" xfId="0" applyNumberFormat="1" applyFont="1" applyFill="1" applyAlignment="1">
      <alignment/>
    </xf>
    <xf numFmtId="185" fontId="12" fillId="24" borderId="0" xfId="60" applyNumberFormat="1" applyFill="1" applyAlignment="1">
      <alignment/>
    </xf>
    <xf numFmtId="185" fontId="12" fillId="24" borderId="0" xfId="0" applyNumberFormat="1" applyFill="1" applyAlignment="1">
      <alignment/>
    </xf>
    <xf numFmtId="41" fontId="4" fillId="32" borderId="0" xfId="0" applyNumberFormat="1" applyFont="1" applyFill="1" applyBorder="1" applyAlignment="1">
      <alignment/>
    </xf>
    <xf numFmtId="187" fontId="4" fillId="24" borderId="0" xfId="0" applyNumberFormat="1" applyFont="1" applyFill="1" applyBorder="1" applyAlignment="1">
      <alignment/>
    </xf>
    <xf numFmtId="186" fontId="4" fillId="22" borderId="0" xfId="52" applyNumberFormat="1" applyFont="1" applyFill="1" applyAlignment="1">
      <alignment/>
    </xf>
    <xf numFmtId="186" fontId="4" fillId="27" borderId="0" xfId="52" applyNumberFormat="1" applyFont="1" applyFill="1" applyAlignment="1">
      <alignment/>
    </xf>
    <xf numFmtId="41" fontId="4" fillId="24" borderId="0" xfId="0" applyNumberFormat="1" applyFont="1" applyFill="1" applyAlignment="1">
      <alignment/>
    </xf>
    <xf numFmtId="41" fontId="4" fillId="25" borderId="10" xfId="0" applyNumberFormat="1" applyFont="1" applyFill="1" applyBorder="1" applyAlignment="1">
      <alignment/>
    </xf>
    <xf numFmtId="43" fontId="21" fillId="4" borderId="0" xfId="0" applyNumberFormat="1" applyFont="1" applyFill="1" applyAlignment="1">
      <alignment/>
    </xf>
    <xf numFmtId="43" fontId="21" fillId="0" borderId="0" xfId="0" applyNumberFormat="1" applyFont="1" applyFill="1" applyAlignment="1">
      <alignment/>
    </xf>
    <xf numFmtId="43" fontId="21" fillId="24" borderId="0" xfId="0" applyNumberFormat="1" applyFont="1" applyFill="1" applyAlignment="1">
      <alignment/>
    </xf>
    <xf numFmtId="43" fontId="21" fillId="22" borderId="0" xfId="0" applyNumberFormat="1" applyFont="1" applyFill="1" applyAlignment="1">
      <alignment/>
    </xf>
    <xf numFmtId="43" fontId="0" fillId="0" borderId="0" xfId="61" applyNumberFormat="1" applyFont="1" applyFill="1" applyBorder="1" applyAlignment="1" applyProtection="1">
      <alignment/>
      <protection/>
    </xf>
    <xf numFmtId="43" fontId="3" fillId="0" borderId="0" xfId="61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/>
    </xf>
    <xf numFmtId="41" fontId="0" fillId="0" borderId="0" xfId="61" applyNumberFormat="1" applyFont="1" applyFill="1" applyBorder="1" applyAlignment="1" applyProtection="1">
      <alignment/>
      <protection/>
    </xf>
    <xf numFmtId="41" fontId="3" fillId="0" borderId="0" xfId="61" applyNumberFormat="1" applyFont="1" applyFill="1" applyBorder="1" applyAlignment="1" applyProtection="1">
      <alignment/>
      <protection/>
    </xf>
    <xf numFmtId="41" fontId="28" fillId="0" borderId="0" xfId="61" applyNumberFormat="1" applyFont="1" applyFill="1" applyBorder="1" applyAlignment="1" applyProtection="1">
      <alignment/>
      <protection/>
    </xf>
    <xf numFmtId="43" fontId="51" fillId="24" borderId="0" xfId="0" applyNumberFormat="1" applyFont="1" applyFill="1" applyAlignment="1">
      <alignment/>
    </xf>
    <xf numFmtId="43" fontId="51" fillId="0" borderId="0" xfId="0" applyNumberFormat="1" applyFont="1" applyFill="1" applyAlignment="1">
      <alignment/>
    </xf>
    <xf numFmtId="43" fontId="10" fillId="0" borderId="0" xfId="61" applyNumberFormat="1" applyFont="1" applyFill="1" applyBorder="1" applyAlignment="1" applyProtection="1">
      <alignment/>
      <protection/>
    </xf>
    <xf numFmtId="41" fontId="52" fillId="0" borderId="0" xfId="61" applyNumberFormat="1" applyFont="1" applyFill="1" applyBorder="1" applyAlignment="1" applyProtection="1">
      <alignment/>
      <protection/>
    </xf>
    <xf numFmtId="41" fontId="53" fillId="0" borderId="0" xfId="61" applyNumberFormat="1" applyFont="1" applyFill="1" applyBorder="1" applyAlignment="1" applyProtection="1">
      <alignment/>
      <protection/>
    </xf>
    <xf numFmtId="43" fontId="28" fillId="0" borderId="0" xfId="61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4" fillId="4" borderId="0" xfId="0" applyNumberFormat="1" applyFont="1" applyFill="1" applyBorder="1" applyAlignment="1">
      <alignment/>
    </xf>
    <xf numFmtId="3" fontId="4" fillId="22" borderId="0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43" fontId="4" fillId="25" borderId="10" xfId="0" applyNumberFormat="1" applyFont="1" applyFill="1" applyBorder="1" applyAlignment="1">
      <alignment/>
    </xf>
    <xf numFmtId="9" fontId="21" fillId="0" borderId="0" xfId="60" applyFont="1" applyFill="1" applyAlignment="1">
      <alignment/>
    </xf>
    <xf numFmtId="9" fontId="21" fillId="0" borderId="0" xfId="0" applyNumberFormat="1" applyFont="1" applyFill="1" applyAlignment="1">
      <alignment/>
    </xf>
    <xf numFmtId="186" fontId="21" fillId="24" borderId="0" xfId="0" applyNumberFormat="1" applyFont="1" applyFill="1" applyAlignment="1">
      <alignment/>
    </xf>
    <xf numFmtId="0" fontId="8" fillId="0" borderId="0" xfId="0" applyFont="1" applyAlignment="1">
      <alignment/>
    </xf>
    <xf numFmtId="9" fontId="21" fillId="24" borderId="0" xfId="60" applyFont="1" applyFill="1" applyAlignment="1">
      <alignment/>
    </xf>
    <xf numFmtId="43" fontId="21" fillId="27" borderId="0" xfId="0" applyNumberFormat="1" applyFont="1" applyFill="1" applyAlignment="1">
      <alignment/>
    </xf>
    <xf numFmtId="0" fontId="57" fillId="24" borderId="0" xfId="0" applyFont="1" applyFill="1" applyAlignment="1">
      <alignment/>
    </xf>
    <xf numFmtId="0" fontId="51" fillId="24" borderId="0" xfId="0" applyFont="1" applyFill="1" applyAlignment="1">
      <alignment/>
    </xf>
    <xf numFmtId="41" fontId="58" fillId="0" borderId="0" xfId="61" applyNumberFormat="1" applyFont="1" applyFill="1" applyBorder="1" applyAlignment="1" applyProtection="1">
      <alignment/>
      <protection/>
    </xf>
    <xf numFmtId="41" fontId="10" fillId="0" borderId="0" xfId="61" applyNumberFormat="1" applyFont="1" applyFill="1" applyBorder="1" applyAlignment="1" applyProtection="1">
      <alignment/>
      <protection/>
    </xf>
    <xf numFmtId="0" fontId="0" fillId="0" borderId="0" xfId="61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54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4" borderId="0" xfId="0" applyFont="1" applyFill="1" applyAlignment="1">
      <alignment/>
    </xf>
    <xf numFmtId="0" fontId="4" fillId="25" borderId="10" xfId="0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41" fontId="4" fillId="32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2" fontId="4" fillId="0" borderId="0" xfId="0" applyNumberFormat="1" applyFont="1" applyFill="1" applyAlignment="1">
      <alignment/>
    </xf>
    <xf numFmtId="2" fontId="4" fillId="30" borderId="0" xfId="0" applyNumberFormat="1" applyFont="1" applyFill="1" applyAlignment="1">
      <alignment/>
    </xf>
    <xf numFmtId="41" fontId="4" fillId="25" borderId="10" xfId="0" applyNumberFormat="1" applyFont="1" applyFill="1" applyBorder="1" applyAlignment="1">
      <alignment/>
    </xf>
    <xf numFmtId="41" fontId="4" fillId="31" borderId="10" xfId="0" applyNumberFormat="1" applyFont="1" applyFill="1" applyBorder="1" applyAlignment="1">
      <alignment/>
    </xf>
    <xf numFmtId="41" fontId="4" fillId="3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 horizontal="right"/>
    </xf>
    <xf numFmtId="41" fontId="4" fillId="33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25" borderId="10" xfId="0" applyNumberFormat="1" applyFont="1" applyFill="1" applyBorder="1" applyAlignment="1">
      <alignment/>
    </xf>
    <xf numFmtId="10" fontId="4" fillId="22" borderId="0" xfId="60" applyNumberFormat="1" applyFont="1" applyFill="1" applyAlignment="1">
      <alignment/>
    </xf>
    <xf numFmtId="3" fontId="21" fillId="4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21" fillId="22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21" fillId="24" borderId="0" xfId="0" applyNumberFormat="1" applyFont="1" applyFill="1" applyAlignment="1">
      <alignment/>
    </xf>
    <xf numFmtId="3" fontId="21" fillId="22" borderId="0" xfId="0" applyNumberFormat="1" applyFont="1" applyFill="1" applyAlignment="1">
      <alignment/>
    </xf>
    <xf numFmtId="3" fontId="21" fillId="27" borderId="0" xfId="0" applyNumberFormat="1" applyFont="1" applyFill="1" applyAlignment="1">
      <alignment/>
    </xf>
    <xf numFmtId="0" fontId="54" fillId="24" borderId="0" xfId="0" applyFont="1" applyFill="1" applyAlignment="1">
      <alignment horizontal="left"/>
    </xf>
    <xf numFmtId="183" fontId="8" fillId="25" borderId="10" xfId="0" applyNumberFormat="1" applyFont="1" applyFill="1" applyBorder="1" applyAlignment="1">
      <alignment horizontal="left"/>
    </xf>
    <xf numFmtId="181" fontId="4" fillId="0" borderId="0" xfId="0" applyNumberFormat="1" applyFont="1" applyFill="1" applyBorder="1" applyAlignment="1">
      <alignment/>
    </xf>
    <xf numFmtId="0" fontId="51" fillId="24" borderId="0" xfId="0" applyFont="1" applyFill="1" applyAlignment="1">
      <alignment horizontal="center"/>
    </xf>
    <xf numFmtId="181" fontId="4" fillId="4" borderId="0" xfId="0" applyNumberFormat="1" applyFont="1" applyFill="1" applyBorder="1" applyAlignment="1">
      <alignment/>
    </xf>
    <xf numFmtId="0" fontId="51" fillId="24" borderId="0" xfId="0" applyFont="1" applyFill="1" applyAlignment="1">
      <alignment horizontal="right"/>
    </xf>
    <xf numFmtId="0" fontId="51" fillId="24" borderId="0" xfId="0" applyFont="1" applyFill="1" applyBorder="1" applyAlignment="1">
      <alignment/>
    </xf>
    <xf numFmtId="182" fontId="51" fillId="24" borderId="0" xfId="0" applyNumberFormat="1" applyFont="1" applyFill="1" applyAlignment="1">
      <alignment/>
    </xf>
    <xf numFmtId="182" fontId="21" fillId="22" borderId="0" xfId="0" applyNumberFormat="1" applyFont="1" applyFill="1" applyAlignment="1">
      <alignment/>
    </xf>
    <xf numFmtId="0" fontId="21" fillId="21" borderId="0" xfId="0" applyFont="1" applyFill="1" applyAlignment="1">
      <alignment/>
    </xf>
    <xf numFmtId="181" fontId="21" fillId="22" borderId="0" xfId="0" applyNumberFormat="1" applyFont="1" applyFill="1" applyAlignment="1">
      <alignment/>
    </xf>
    <xf numFmtId="186" fontId="4" fillId="24" borderId="0" xfId="52" applyNumberFormat="1" applyFont="1" applyFill="1" applyAlignment="1">
      <alignment/>
    </xf>
    <xf numFmtId="0" fontId="21" fillId="22" borderId="0" xfId="0" applyFont="1" applyFill="1" applyAlignment="1">
      <alignment/>
    </xf>
    <xf numFmtId="190" fontId="4" fillId="22" borderId="0" xfId="0" applyNumberFormat="1" applyFont="1" applyFill="1" applyAlignment="1">
      <alignment/>
    </xf>
    <xf numFmtId="0" fontId="4" fillId="22" borderId="0" xfId="0" applyFont="1" applyFill="1" applyAlignment="1">
      <alignment/>
    </xf>
    <xf numFmtId="180" fontId="4" fillId="22" borderId="0" xfId="0" applyNumberFormat="1" applyFont="1" applyFill="1" applyAlignment="1">
      <alignment/>
    </xf>
    <xf numFmtId="186" fontId="4" fillId="27" borderId="0" xfId="0" applyNumberFormat="1" applyFont="1" applyFill="1" applyAlignment="1">
      <alignment/>
    </xf>
    <xf numFmtId="186" fontId="4" fillId="22" borderId="0" xfId="0" applyNumberFormat="1" applyFont="1" applyFill="1" applyAlignment="1">
      <alignment/>
    </xf>
    <xf numFmtId="186" fontId="59" fillId="0" borderId="0" xfId="52" applyNumberFormat="1" applyFont="1" applyFill="1" applyAlignment="1">
      <alignment/>
    </xf>
    <xf numFmtId="189" fontId="21" fillId="27" borderId="0" xfId="0" applyNumberFormat="1" applyFont="1" applyFill="1" applyAlignment="1">
      <alignment/>
    </xf>
    <xf numFmtId="9" fontId="21" fillId="0" borderId="0" xfId="60" applyNumberFormat="1" applyFont="1" applyFill="1" applyAlignment="1">
      <alignment/>
    </xf>
    <xf numFmtId="10" fontId="0" fillId="0" borderId="0" xfId="60" applyNumberFormat="1" applyAlignment="1">
      <alignment/>
    </xf>
    <xf numFmtId="43" fontId="54" fillId="24" borderId="0" xfId="0" applyNumberFormat="1" applyFont="1" applyFill="1" applyAlignment="1">
      <alignment/>
    </xf>
    <xf numFmtId="186" fontId="21" fillId="22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3" fontId="51" fillId="24" borderId="0" xfId="0" applyNumberFormat="1" applyFont="1" applyFill="1" applyAlignment="1">
      <alignment horizontal="left"/>
    </xf>
    <xf numFmtId="43" fontId="54" fillId="24" borderId="0" xfId="0" applyNumberFormat="1" applyFont="1" applyFill="1" applyAlignment="1">
      <alignment horizontal="left"/>
    </xf>
    <xf numFmtId="9" fontId="21" fillId="22" borderId="0" xfId="0" applyNumberFormat="1" applyFont="1" applyFill="1" applyAlignment="1">
      <alignment/>
    </xf>
    <xf numFmtId="43" fontId="56" fillId="0" borderId="0" xfId="0" applyNumberFormat="1" applyFont="1" applyFill="1" applyAlignment="1">
      <alignment/>
    </xf>
    <xf numFmtId="9" fontId="21" fillId="27" borderId="0" xfId="60" applyFont="1" applyFill="1" applyAlignment="1">
      <alignment/>
    </xf>
    <xf numFmtId="0" fontId="24" fillId="0" borderId="0" xfId="0" applyFont="1" applyAlignment="1">
      <alignment/>
    </xf>
    <xf numFmtId="43" fontId="10" fillId="24" borderId="0" xfId="0" applyNumberFormat="1" applyFont="1" applyFill="1" applyAlignment="1">
      <alignment horizontal="left"/>
    </xf>
    <xf numFmtId="0" fontId="51" fillId="25" borderId="10" xfId="0" applyFont="1" applyFill="1" applyBorder="1" applyAlignment="1">
      <alignment/>
    </xf>
    <xf numFmtId="0" fontId="51" fillId="24" borderId="25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0" fillId="27" borderId="19" xfId="0" applyFont="1" applyFill="1" applyBorder="1" applyAlignment="1">
      <alignment/>
    </xf>
    <xf numFmtId="0" fontId="3" fillId="24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textRotation="90"/>
    </xf>
    <xf numFmtId="0" fontId="54" fillId="0" borderId="0" xfId="0" applyFont="1" applyFill="1" applyBorder="1" applyAlignment="1">
      <alignment/>
    </xf>
    <xf numFmtId="41" fontId="0" fillId="24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2" fontId="20" fillId="4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41" fontId="4" fillId="22" borderId="0" xfId="0" applyNumberFormat="1" applyFont="1" applyFill="1" applyAlignment="1">
      <alignment/>
    </xf>
    <xf numFmtId="43" fontId="4" fillId="22" borderId="0" xfId="0" applyNumberFormat="1" applyFont="1" applyFill="1" applyAlignment="1">
      <alignment/>
    </xf>
    <xf numFmtId="43" fontId="4" fillId="20" borderId="0" xfId="0" applyNumberFormat="1" applyFont="1" applyFill="1" applyBorder="1" applyAlignment="1">
      <alignment/>
    </xf>
    <xf numFmtId="41" fontId="60" fillId="0" borderId="0" xfId="61" applyNumberFormat="1" applyFont="1" applyFill="1" applyBorder="1" applyAlignment="1" applyProtection="1">
      <alignment/>
      <protection/>
    </xf>
    <xf numFmtId="41" fontId="61" fillId="0" borderId="0" xfId="61" applyNumberFormat="1" applyFont="1" applyFill="1" applyBorder="1" applyAlignment="1" applyProtection="1">
      <alignment/>
      <protection/>
    </xf>
    <xf numFmtId="41" fontId="21" fillId="2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190" fontId="51" fillId="4" borderId="0" xfId="0" applyNumberFormat="1" applyFont="1" applyFill="1" applyBorder="1" applyAlignment="1">
      <alignment/>
    </xf>
    <xf numFmtId="41" fontId="4" fillId="0" borderId="0" xfId="55" applyNumberFormat="1" applyFont="1" applyFill="1" applyBorder="1" applyAlignment="1" applyProtection="1">
      <alignment horizontal="right"/>
      <protection locked="0"/>
    </xf>
    <xf numFmtId="41" fontId="4" fillId="29" borderId="0" xfId="62" applyNumberFormat="1" applyFont="1" applyFill="1" applyBorder="1" applyAlignment="1" applyProtection="1">
      <alignment horizontal="right"/>
      <protection locked="0"/>
    </xf>
    <xf numFmtId="41" fontId="4" fillId="29" borderId="0" xfId="0" applyNumberFormat="1" applyFont="1" applyFill="1" applyBorder="1" applyAlignment="1">
      <alignment horizontal="right"/>
    </xf>
    <xf numFmtId="41" fontId="4" fillId="29" borderId="0" xfId="0" applyNumberFormat="1" applyFont="1" applyFill="1" applyBorder="1" applyAlignment="1" applyProtection="1">
      <alignment horizontal="right"/>
      <protection locked="0"/>
    </xf>
    <xf numFmtId="41" fontId="4" fillId="34" borderId="0" xfId="52" applyNumberFormat="1" applyFont="1" applyFill="1" applyBorder="1" applyAlignment="1" applyProtection="1">
      <alignment horizontal="right"/>
      <protection locked="0"/>
    </xf>
    <xf numFmtId="41" fontId="4" fillId="34" borderId="0" xfId="62" applyNumberFormat="1" applyFont="1" applyFill="1" applyBorder="1" applyAlignment="1" applyProtection="1">
      <alignment horizontal="right"/>
      <protection locked="0"/>
    </xf>
    <xf numFmtId="41" fontId="4" fillId="20" borderId="0" xfId="54" applyNumberFormat="1" applyFont="1" applyFill="1" applyBorder="1" applyAlignment="1" applyProtection="1">
      <alignment horizontal="right"/>
      <protection locked="0"/>
    </xf>
    <xf numFmtId="41" fontId="4" fillId="34" borderId="0" xfId="0" applyNumberFormat="1" applyFont="1" applyFill="1" applyBorder="1" applyAlignment="1">
      <alignment/>
    </xf>
    <xf numFmtId="2" fontId="4" fillId="22" borderId="0" xfId="0" applyNumberFormat="1" applyFont="1" applyFill="1" applyAlignment="1">
      <alignment/>
    </xf>
    <xf numFmtId="2" fontId="4" fillId="4" borderId="0" xfId="0" applyNumberFormat="1" applyFont="1" applyFill="1" applyAlignment="1">
      <alignment/>
    </xf>
    <xf numFmtId="41" fontId="4" fillId="34" borderId="0" xfId="0" applyNumberFormat="1" applyFont="1" applyFill="1" applyBorder="1" applyAlignment="1">
      <alignment horizontal="right"/>
    </xf>
    <xf numFmtId="41" fontId="11" fillId="0" borderId="0" xfId="55" applyNumberFormat="1" applyFont="1" applyFill="1" applyBorder="1" applyAlignment="1" applyProtection="1">
      <alignment horizontal="right"/>
      <protection locked="0"/>
    </xf>
    <xf numFmtId="41" fontId="11" fillId="0" borderId="0" xfId="0" applyNumberFormat="1" applyFont="1" applyFill="1" applyBorder="1" applyAlignment="1">
      <alignment horizontal="right"/>
    </xf>
    <xf numFmtId="186" fontId="21" fillId="22" borderId="0" xfId="52" applyNumberFormat="1" applyFont="1" applyFill="1" applyAlignment="1">
      <alignment/>
    </xf>
    <xf numFmtId="190" fontId="51" fillId="22" borderId="0" xfId="0" applyNumberFormat="1" applyFont="1" applyFill="1" applyBorder="1" applyAlignment="1">
      <alignment/>
    </xf>
    <xf numFmtId="0" fontId="0" fillId="20" borderId="1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1" fillId="0" borderId="25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4" fillId="0" borderId="0" xfId="0" applyFont="1" applyAlignment="1">
      <alignment horizontal="right"/>
    </xf>
    <xf numFmtId="0" fontId="51" fillId="0" borderId="0" xfId="0" applyFont="1" applyBorder="1" applyAlignment="1">
      <alignment horizontal="left"/>
    </xf>
    <xf numFmtId="2" fontId="16" fillId="24" borderId="24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er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Comma" xfId="52"/>
    <cellStyle name="Comma [0]" xfId="53"/>
    <cellStyle name="Komma_Tarievenmand 2002" xfId="54"/>
    <cellStyle name="Komma_Tarievenmandje - definitief3" xfId="55"/>
    <cellStyle name="Linked Cell" xfId="56"/>
    <cellStyle name="Neutral" xfId="57"/>
    <cellStyle name="Note" xfId="58"/>
    <cellStyle name="Output" xfId="59"/>
    <cellStyle name="Percent" xfId="60"/>
    <cellStyle name="Standaard_Tabellen - CIV2" xfId="61"/>
    <cellStyle name="Standaard_Tarievenmand 2002" xfId="62"/>
    <cellStyle name="Title" xfId="63"/>
    <cellStyle name="Total" xfId="64"/>
    <cellStyle name="Currency" xfId="65"/>
    <cellStyle name="Currency [0]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85725</xdr:rowOff>
    </xdr:from>
    <xdr:to>
      <xdr:col>3</xdr:col>
      <xdr:colOff>447675</xdr:colOff>
      <xdr:row>1</xdr:row>
      <xdr:rowOff>866775</xdr:rowOff>
    </xdr:to>
    <xdr:sp>
      <xdr:nvSpPr>
        <xdr:cNvPr id="1" name="TextBox 27"/>
        <xdr:cNvSpPr txBox="1">
          <a:spLocks noChangeArrowheads="1"/>
        </xdr:cNvSpPr>
      </xdr:nvSpPr>
      <xdr:spPr>
        <a:xfrm>
          <a:off x="200025" y="247650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123825</xdr:rowOff>
    </xdr:from>
    <xdr:to>
      <xdr:col>6</xdr:col>
      <xdr:colOff>257175</xdr:colOff>
      <xdr:row>1</xdr:row>
      <xdr:rowOff>904875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85750" y="285750"/>
          <a:ext cx="4495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228600</xdr:rowOff>
    </xdr:from>
    <xdr:to>
      <xdr:col>5</xdr:col>
      <xdr:colOff>542925</xdr:colOff>
      <xdr:row>0</xdr:row>
      <xdr:rowOff>1009650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228600" y="228600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228600</xdr:rowOff>
    </xdr:from>
    <xdr:to>
      <xdr:col>5</xdr:col>
      <xdr:colOff>504825</xdr:colOff>
      <xdr:row>0</xdr:row>
      <xdr:rowOff>1009650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200025" y="228600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57150</xdr:rowOff>
    </xdr:from>
    <xdr:to>
      <xdr:col>7</xdr:col>
      <xdr:colOff>247650</xdr:colOff>
      <xdr:row>1</xdr:row>
      <xdr:rowOff>838200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00025" y="219075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3</xdr:col>
      <xdr:colOff>542925</xdr:colOff>
      <xdr:row>1</xdr:row>
      <xdr:rowOff>904875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104775" y="285750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3429000</xdr:colOff>
      <xdr:row>46</xdr:row>
      <xdr:rowOff>47625</xdr:rowOff>
    </xdr:from>
    <xdr:to>
      <xdr:col>2</xdr:col>
      <xdr:colOff>419100</xdr:colOff>
      <xdr:row>48</xdr:row>
      <xdr:rowOff>47625</xdr:rowOff>
    </xdr:to>
    <xdr:pic>
      <xdr:nvPicPr>
        <xdr:cNvPr id="1" name="Doelzoe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8696325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123825</xdr:rowOff>
    </xdr:from>
    <xdr:to>
      <xdr:col>2</xdr:col>
      <xdr:colOff>428625</xdr:colOff>
      <xdr:row>1</xdr:row>
      <xdr:rowOff>904875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266700" y="285750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152400</xdr:rowOff>
    </xdr:from>
    <xdr:to>
      <xdr:col>2</xdr:col>
      <xdr:colOff>285750</xdr:colOff>
      <xdr:row>1</xdr:row>
      <xdr:rowOff>933450</xdr:rowOff>
    </xdr:to>
    <xdr:sp>
      <xdr:nvSpPr>
        <xdr:cNvPr id="1" name="TextBox 23"/>
        <xdr:cNvSpPr txBox="1">
          <a:spLocks noChangeArrowheads="1"/>
        </xdr:cNvSpPr>
      </xdr:nvSpPr>
      <xdr:spPr>
        <a:xfrm>
          <a:off x="219075" y="314325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123825</xdr:rowOff>
    </xdr:from>
    <xdr:to>
      <xdr:col>3</xdr:col>
      <xdr:colOff>685800</xdr:colOff>
      <xdr:row>1</xdr:row>
      <xdr:rowOff>904875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228600" y="285750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123825</xdr:rowOff>
    </xdr:from>
    <xdr:to>
      <xdr:col>3</xdr:col>
      <xdr:colOff>285750</xdr:colOff>
      <xdr:row>1</xdr:row>
      <xdr:rowOff>904875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285750" y="285750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123825</xdr:rowOff>
    </xdr:from>
    <xdr:to>
      <xdr:col>3</xdr:col>
      <xdr:colOff>295275</xdr:colOff>
      <xdr:row>1</xdr:row>
      <xdr:rowOff>904875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285750" y="285750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123825</xdr:rowOff>
    </xdr:from>
    <xdr:to>
      <xdr:col>3</xdr:col>
      <xdr:colOff>419100</xdr:colOff>
      <xdr:row>1</xdr:row>
      <xdr:rowOff>904875</xdr:rowOff>
    </xdr:to>
    <xdr:sp>
      <xdr:nvSpPr>
        <xdr:cNvPr id="1" name="TextBox 64"/>
        <xdr:cNvSpPr txBox="1">
          <a:spLocks noChangeArrowheads="1"/>
        </xdr:cNvSpPr>
      </xdr:nvSpPr>
      <xdr:spPr>
        <a:xfrm>
          <a:off x="285750" y="285750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133350</xdr:rowOff>
    </xdr:from>
    <xdr:to>
      <xdr:col>2</xdr:col>
      <xdr:colOff>428625</xdr:colOff>
      <xdr:row>1</xdr:row>
      <xdr:rowOff>914400</xdr:rowOff>
    </xdr:to>
    <xdr:sp>
      <xdr:nvSpPr>
        <xdr:cNvPr id="1" name="TextBox 33"/>
        <xdr:cNvSpPr txBox="1">
          <a:spLocks noChangeArrowheads="1"/>
        </xdr:cNvSpPr>
      </xdr:nvSpPr>
      <xdr:spPr>
        <a:xfrm>
          <a:off x="285750" y="295275"/>
          <a:ext cx="4457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Disclaimer:
- De data t/m 2008 zijn nog niet gevalideerd; dus onder voorbehoud van fouten
- Voor het jaar 2009 zjin nog geen gegevens bekend
- De berekening in dit model geeft geen concept-x-factor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showGridLines="0" zoomScale="85" zoomScaleNormal="85" workbookViewId="0" topLeftCell="A1">
      <selection activeCell="B37" sqref="B37"/>
    </sheetView>
  </sheetViews>
  <sheetFormatPr defaultColWidth="9.140625" defaultRowHeight="12.75"/>
  <cols>
    <col min="1" max="1" width="9.140625" style="198" customWidth="1"/>
    <col min="2" max="2" width="118.57421875" style="198" customWidth="1"/>
    <col min="3" max="16384" width="9.140625" style="198" customWidth="1"/>
  </cols>
  <sheetData>
    <row r="1" spans="1:2" ht="12.75">
      <c r="A1" s="470"/>
      <c r="B1" s="470"/>
    </row>
    <row r="2" spans="1:2" ht="12.75">
      <c r="A2" s="532"/>
      <c r="B2" s="534" t="s">
        <v>11</v>
      </c>
    </row>
    <row r="3" spans="1:2" ht="12.75">
      <c r="A3" s="470"/>
      <c r="B3" s="470"/>
    </row>
    <row r="4" spans="1:2" ht="12.75">
      <c r="A4" s="533"/>
      <c r="B4" s="535" t="s">
        <v>580</v>
      </c>
    </row>
    <row r="5" spans="1:2" ht="12.75">
      <c r="A5" s="533"/>
      <c r="B5" s="571" t="s">
        <v>581</v>
      </c>
    </row>
    <row r="6" spans="1:2" ht="12.75">
      <c r="A6" s="533"/>
      <c r="B6" s="535"/>
    </row>
    <row r="7" spans="1:2" ht="12.75">
      <c r="A7" s="533"/>
      <c r="B7" s="535" t="s">
        <v>12</v>
      </c>
    </row>
    <row r="8" spans="1:2" ht="12.75">
      <c r="A8" s="533"/>
      <c r="B8" s="533"/>
    </row>
    <row r="9" spans="1:2" ht="12.75">
      <c r="A9" s="533"/>
      <c r="B9" s="571" t="s">
        <v>582</v>
      </c>
    </row>
    <row r="10" spans="1:2" ht="12.75">
      <c r="A10" s="533"/>
      <c r="B10" s="572" t="s">
        <v>583</v>
      </c>
    </row>
    <row r="11" spans="1:2" ht="12.75">
      <c r="A11" s="533"/>
      <c r="B11" s="572" t="s">
        <v>584</v>
      </c>
    </row>
    <row r="12" spans="1:2" ht="12.75">
      <c r="A12" s="533"/>
      <c r="B12" s="571" t="s">
        <v>579</v>
      </c>
    </row>
    <row r="13" spans="1:2" ht="12.75">
      <c r="A13" s="470"/>
      <c r="B13" s="470"/>
    </row>
    <row r="14" spans="1:2" ht="12.75">
      <c r="A14" s="533"/>
      <c r="B14" s="535" t="s">
        <v>13</v>
      </c>
    </row>
    <row r="15" spans="1:2" ht="12.75">
      <c r="A15" s="533"/>
      <c r="B15" s="535" t="s">
        <v>14</v>
      </c>
    </row>
    <row r="16" spans="1:2" ht="12.75">
      <c r="A16" s="470"/>
      <c r="B16" s="470"/>
    </row>
    <row r="17" spans="1:2" ht="12.75">
      <c r="A17" s="470"/>
      <c r="B17" s="470"/>
    </row>
    <row r="18" spans="1:2" ht="12.75">
      <c r="A18" s="470"/>
      <c r="B18" s="470"/>
    </row>
    <row r="19" spans="1:2" ht="12.75">
      <c r="A19" s="532"/>
      <c r="B19" s="534" t="s">
        <v>15</v>
      </c>
    </row>
    <row r="20" spans="1:2" ht="12.75">
      <c r="A20" s="470"/>
      <c r="B20" s="470"/>
    </row>
    <row r="21" spans="1:2" ht="12.75">
      <c r="A21" s="533"/>
      <c r="B21" s="536" t="s">
        <v>16</v>
      </c>
    </row>
    <row r="22" spans="1:2" ht="12.75">
      <c r="A22" s="533"/>
      <c r="B22" s="114"/>
    </row>
    <row r="23" spans="1:2" ht="12.75">
      <c r="A23" s="533"/>
      <c r="B23" s="537" t="s">
        <v>17</v>
      </c>
    </row>
    <row r="24" spans="1:2" ht="12.75">
      <c r="A24" s="533"/>
      <c r="B24" s="114"/>
    </row>
    <row r="25" spans="1:2" ht="12.75">
      <c r="A25" s="533"/>
      <c r="B25" s="538" t="s">
        <v>18</v>
      </c>
    </row>
    <row r="26" spans="1:2" ht="12.75">
      <c r="A26" s="470"/>
      <c r="B26" s="470"/>
    </row>
    <row r="27" spans="1:2" ht="12.75">
      <c r="A27" s="533"/>
      <c r="B27" s="570" t="s">
        <v>109</v>
      </c>
    </row>
    <row r="28" spans="1:2" ht="12.75">
      <c r="A28" s="470"/>
      <c r="B28" s="470"/>
    </row>
    <row r="29" spans="1:2" ht="12.75">
      <c r="A29" s="470"/>
      <c r="B29" s="47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1"/>
  <dimension ref="B2:O116"/>
  <sheetViews>
    <sheetView showGridLines="0" zoomScale="85" zoomScaleNormal="85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" sqref="D4"/>
    </sheetView>
  </sheetViews>
  <sheetFormatPr defaultColWidth="9.140625" defaultRowHeight="12.75" outlineLevelRow="1"/>
  <cols>
    <col min="1" max="1" width="2.7109375" style="23" customWidth="1"/>
    <col min="2" max="2" width="62.00390625" style="470" customWidth="1"/>
    <col min="3" max="3" width="17.7109375" style="25" customWidth="1"/>
    <col min="4" max="4" width="12.00390625" style="23" customWidth="1"/>
    <col min="5" max="9" width="9.7109375" style="23" customWidth="1"/>
    <col min="10" max="10" width="10.7109375" style="23" bestFit="1" customWidth="1"/>
    <col min="11" max="12" width="9.7109375" style="23" customWidth="1"/>
    <col min="13" max="16384" width="9.140625" style="23" customWidth="1"/>
  </cols>
  <sheetData>
    <row r="1" ht="12.75"/>
    <row r="2" spans="2:13" s="111" customFormat="1" ht="121.5" customHeight="1">
      <c r="B2" s="112" t="s">
        <v>189</v>
      </c>
      <c r="C2" s="112"/>
      <c r="D2" s="112"/>
      <c r="E2" s="4" t="s">
        <v>146</v>
      </c>
      <c r="F2" s="4" t="s">
        <v>29</v>
      </c>
      <c r="G2" s="4" t="s">
        <v>455</v>
      </c>
      <c r="H2" s="4" t="s">
        <v>148</v>
      </c>
      <c r="I2" s="4" t="s">
        <v>150</v>
      </c>
      <c r="J2" s="4" t="s">
        <v>151</v>
      </c>
      <c r="K2" s="4" t="s">
        <v>147</v>
      </c>
      <c r="L2" s="4" t="s">
        <v>30</v>
      </c>
      <c r="M2" s="40" t="s">
        <v>153</v>
      </c>
    </row>
    <row r="3" spans="2:13" s="119" customFormat="1" ht="20.25">
      <c r="B3" s="118"/>
      <c r="C3" s="118"/>
      <c r="D3" s="118"/>
      <c r="E3" s="98"/>
      <c r="F3" s="98"/>
      <c r="G3" s="98"/>
      <c r="H3" s="98"/>
      <c r="I3" s="98"/>
      <c r="J3" s="98"/>
      <c r="K3" s="98"/>
      <c r="L3" s="98"/>
      <c r="M3" s="98"/>
    </row>
    <row r="4" spans="2:4" s="31" customFormat="1" ht="12.75">
      <c r="B4" s="81"/>
      <c r="C4" s="81"/>
      <c r="D4" s="76"/>
    </row>
    <row r="5" spans="2:4" s="31" customFormat="1" ht="12.75">
      <c r="B5" s="81"/>
      <c r="C5" s="81"/>
      <c r="D5" s="76"/>
    </row>
    <row r="6" spans="2:4" s="42" customFormat="1" ht="12.75">
      <c r="B6" s="83" t="s">
        <v>283</v>
      </c>
      <c r="C6" s="83"/>
      <c r="D6" s="83"/>
    </row>
    <row r="7" spans="2:13" s="31" customFormat="1" ht="12.75" outlineLevel="1">
      <c r="B7" s="474"/>
      <c r="C7" s="32"/>
      <c r="E7" s="116"/>
      <c r="F7" s="116"/>
      <c r="G7" s="116"/>
      <c r="H7" s="116"/>
      <c r="I7" s="116"/>
      <c r="J7" s="116"/>
      <c r="K7" s="116"/>
      <c r="L7" s="116"/>
      <c r="M7" s="116"/>
    </row>
    <row r="8" spans="2:13" s="32" customFormat="1" ht="12.75" outlineLevel="1">
      <c r="B8" s="34" t="s">
        <v>49</v>
      </c>
      <c r="C8" s="34" t="s">
        <v>46</v>
      </c>
      <c r="D8" s="34"/>
      <c r="E8" s="490"/>
      <c r="F8" s="490"/>
      <c r="G8" s="490"/>
      <c r="H8" s="490"/>
      <c r="I8" s="490"/>
      <c r="J8" s="493">
        <f>9214246.79/1000</f>
        <v>9214.24679</v>
      </c>
      <c r="K8" s="490"/>
      <c r="L8" s="490"/>
      <c r="M8" s="490"/>
    </row>
    <row r="9" spans="2:15" s="31" customFormat="1" ht="12.75" outlineLevel="1">
      <c r="B9" s="114" t="s">
        <v>50</v>
      </c>
      <c r="C9" s="34" t="s">
        <v>46</v>
      </c>
      <c r="D9" s="114"/>
      <c r="E9" s="494"/>
      <c r="F9" s="494"/>
      <c r="G9" s="494"/>
      <c r="H9" s="494"/>
      <c r="I9" s="494"/>
      <c r="J9" s="495">
        <f>J8/18</f>
        <v>511.9025994444444</v>
      </c>
      <c r="K9" s="494"/>
      <c r="L9" s="494"/>
      <c r="M9" s="494"/>
      <c r="O9" s="114"/>
    </row>
    <row r="10" spans="2:15" s="31" customFormat="1" ht="12.75" outlineLevel="1">
      <c r="B10" s="34" t="s">
        <v>48</v>
      </c>
      <c r="C10" s="34" t="s">
        <v>47</v>
      </c>
      <c r="D10" s="34"/>
      <c r="E10" s="493">
        <f>13168903/1000</f>
        <v>13168.903</v>
      </c>
      <c r="F10" s="494"/>
      <c r="G10" s="494"/>
      <c r="H10" s="494"/>
      <c r="I10" s="494"/>
      <c r="J10" s="494"/>
      <c r="K10" s="494"/>
      <c r="L10" s="494"/>
      <c r="M10" s="494"/>
      <c r="O10" s="114"/>
    </row>
    <row r="11" spans="2:15" s="31" customFormat="1" ht="12.75" outlineLevel="1">
      <c r="B11" s="114" t="s">
        <v>51</v>
      </c>
      <c r="C11" s="34" t="s">
        <v>47</v>
      </c>
      <c r="D11" s="114"/>
      <c r="E11" s="495">
        <f>E10/20</f>
        <v>658.44515</v>
      </c>
      <c r="F11" s="494"/>
      <c r="G11" s="494"/>
      <c r="H11" s="494"/>
      <c r="I11" s="494"/>
      <c r="J11" s="494"/>
      <c r="K11" s="494"/>
      <c r="L11" s="494"/>
      <c r="M11" s="494"/>
      <c r="O11" s="114"/>
    </row>
    <row r="12" spans="2:15" s="31" customFormat="1" ht="12.75" outlineLevel="1">
      <c r="B12" s="474"/>
      <c r="C12" s="32"/>
      <c r="E12" s="494"/>
      <c r="F12" s="494"/>
      <c r="G12" s="494"/>
      <c r="H12" s="494"/>
      <c r="I12" s="494"/>
      <c r="J12" s="494"/>
      <c r="K12" s="494"/>
      <c r="L12" s="494"/>
      <c r="M12" s="494"/>
      <c r="O12" s="114"/>
    </row>
    <row r="13" spans="2:15" s="31" customFormat="1" ht="12.75" outlineLevel="1">
      <c r="B13" s="474"/>
      <c r="C13" s="32"/>
      <c r="E13" s="494"/>
      <c r="F13" s="494"/>
      <c r="G13" s="494"/>
      <c r="H13" s="494"/>
      <c r="I13" s="494"/>
      <c r="J13" s="494"/>
      <c r="K13" s="494"/>
      <c r="L13" s="494"/>
      <c r="M13" s="494"/>
      <c r="O13" s="114"/>
    </row>
    <row r="14" spans="2:15" s="44" customFormat="1" ht="12.75" outlineLevel="1">
      <c r="B14" s="113">
        <v>2006</v>
      </c>
      <c r="C14" s="113"/>
      <c r="D14" s="113"/>
      <c r="E14" s="490"/>
      <c r="F14" s="490"/>
      <c r="G14" s="490"/>
      <c r="H14" s="490"/>
      <c r="I14" s="490"/>
      <c r="J14" s="490"/>
      <c r="K14" s="490"/>
      <c r="L14" s="490"/>
      <c r="M14" s="490"/>
      <c r="O14" s="114"/>
    </row>
    <row r="15" spans="2:15" s="31" customFormat="1" ht="12.75" outlineLevel="1">
      <c r="B15" s="32" t="s">
        <v>284</v>
      </c>
      <c r="C15" s="32" t="s">
        <v>52</v>
      </c>
      <c r="D15" s="93"/>
      <c r="E15" s="495">
        <f>Kosten!E17</f>
        <v>1</v>
      </c>
      <c r="F15" s="495">
        <f>Kosten!F17</f>
        <v>0</v>
      </c>
      <c r="G15" s="495">
        <f>Kosten!G17</f>
        <v>0</v>
      </c>
      <c r="H15" s="495">
        <f>Kosten!H17</f>
        <v>1772.8</v>
      </c>
      <c r="I15" s="495">
        <f>Kosten!I17</f>
        <v>0</v>
      </c>
      <c r="J15" s="495">
        <f>Kosten!J17</f>
        <v>0</v>
      </c>
      <c r="K15" s="495">
        <f>Kosten!K17</f>
        <v>20.167</v>
      </c>
      <c r="L15" s="495">
        <f>Kosten!L17</f>
        <v>0</v>
      </c>
      <c r="M15" s="495">
        <f aca="true" t="shared" si="0" ref="M15:M20">SUM(E15:L15)</f>
        <v>1793.9669999999999</v>
      </c>
      <c r="O15" s="114"/>
    </row>
    <row r="16" spans="2:13" s="31" customFormat="1" ht="12.75" outlineLevel="1">
      <c r="B16" s="474" t="s">
        <v>183</v>
      </c>
      <c r="C16" s="32" t="s">
        <v>52</v>
      </c>
      <c r="D16" s="33"/>
      <c r="E16" s="495">
        <f>Kosten!E18</f>
        <v>0</v>
      </c>
      <c r="F16" s="495">
        <f>Kosten!F18</f>
        <v>460.239</v>
      </c>
      <c r="G16" s="495">
        <f>Kosten!G18</f>
        <v>0</v>
      </c>
      <c r="H16" s="495">
        <f>Kosten!H18</f>
        <v>0</v>
      </c>
      <c r="I16" s="495">
        <f>Kosten!I18</f>
        <v>12580.818</v>
      </c>
      <c r="J16" s="495">
        <f>Kosten!J18</f>
        <v>0</v>
      </c>
      <c r="K16" s="495">
        <f>Kosten!K18</f>
        <v>14239.941</v>
      </c>
      <c r="L16" s="495">
        <f>Kosten!L18</f>
        <v>0</v>
      </c>
      <c r="M16" s="495">
        <f t="shared" si="0"/>
        <v>27280.998</v>
      </c>
    </row>
    <row r="17" spans="2:13" s="31" customFormat="1" ht="12.75" outlineLevel="1">
      <c r="B17" s="474" t="s">
        <v>53</v>
      </c>
      <c r="C17" s="32" t="s">
        <v>52</v>
      </c>
      <c r="D17" s="33"/>
      <c r="E17" s="495">
        <f>(E$10-3*E$11)*(1+CPIv2003n2006)</f>
        <v>11762.325679366722</v>
      </c>
      <c r="F17" s="494"/>
      <c r="G17" s="494"/>
      <c r="H17" s="494"/>
      <c r="I17" s="494"/>
      <c r="J17" s="495">
        <f>(J$8-6*J$9)*(1+CPIv2000n2006)</f>
        <v>7155.897731524153</v>
      </c>
      <c r="K17" s="494"/>
      <c r="L17" s="494"/>
      <c r="M17" s="495">
        <f t="shared" si="0"/>
        <v>18918.223410890874</v>
      </c>
    </row>
    <row r="18" spans="2:13" s="31" customFormat="1" ht="12.75" outlineLevel="1">
      <c r="B18" s="474" t="s">
        <v>54</v>
      </c>
      <c r="C18" s="32" t="s">
        <v>52</v>
      </c>
      <c r="D18" s="33"/>
      <c r="E18" s="495">
        <f>E$11*(1+CPIv2003n2006)</f>
        <v>691.9015105509836</v>
      </c>
      <c r="F18" s="494"/>
      <c r="G18" s="494"/>
      <c r="H18" s="494"/>
      <c r="I18" s="494"/>
      <c r="J18" s="495">
        <f>J$9*(1+CPIv2000n2006)</f>
        <v>596.324810960346</v>
      </c>
      <c r="K18" s="494"/>
      <c r="L18" s="494"/>
      <c r="M18" s="495">
        <f t="shared" si="0"/>
        <v>1288.2263215113296</v>
      </c>
    </row>
    <row r="19" spans="2:13" s="31" customFormat="1" ht="12.75" outlineLevel="1">
      <c r="B19" s="474" t="s">
        <v>55</v>
      </c>
      <c r="C19" s="32" t="s">
        <v>52</v>
      </c>
      <c r="D19" s="33"/>
      <c r="E19" s="495">
        <f>E17*WACC2011+E18</f>
        <v>1409.4033769923535</v>
      </c>
      <c r="F19" s="494"/>
      <c r="G19" s="494"/>
      <c r="H19" s="494"/>
      <c r="I19" s="494"/>
      <c r="J19" s="495">
        <f>J17*WACC2011+J18</f>
        <v>1032.8345725833192</v>
      </c>
      <c r="K19" s="494"/>
      <c r="L19" s="494"/>
      <c r="M19" s="495">
        <f t="shared" si="0"/>
        <v>2442.2379495756727</v>
      </c>
    </row>
    <row r="20" spans="2:13" s="31" customFormat="1" ht="12.75" outlineLevel="1">
      <c r="B20" s="541" t="s">
        <v>56</v>
      </c>
      <c r="C20" s="32" t="s">
        <v>52</v>
      </c>
      <c r="D20" s="33"/>
      <c r="E20" s="495">
        <f>E15+E16+E19</f>
        <v>1410.4033769923535</v>
      </c>
      <c r="F20" s="495">
        <f aca="true" t="shared" si="1" ref="F20:L20">F15+F16+F19</f>
        <v>460.239</v>
      </c>
      <c r="G20" s="495">
        <f>G15+G16+G19</f>
        <v>0</v>
      </c>
      <c r="H20" s="495">
        <f t="shared" si="1"/>
        <v>1772.8</v>
      </c>
      <c r="I20" s="495">
        <f t="shared" si="1"/>
        <v>12580.818</v>
      </c>
      <c r="J20" s="495">
        <f t="shared" si="1"/>
        <v>1032.8345725833192</v>
      </c>
      <c r="K20" s="495">
        <f>K15+K16+K19</f>
        <v>14260.108</v>
      </c>
      <c r="L20" s="495">
        <f t="shared" si="1"/>
        <v>0</v>
      </c>
      <c r="M20" s="495">
        <f t="shared" si="0"/>
        <v>31517.202949575672</v>
      </c>
    </row>
    <row r="21" spans="2:13" s="31" customFormat="1" ht="12.75" outlineLevel="1">
      <c r="B21" s="474"/>
      <c r="C21" s="32"/>
      <c r="E21" s="494"/>
      <c r="F21" s="494"/>
      <c r="G21" s="494"/>
      <c r="H21" s="494"/>
      <c r="I21" s="494"/>
      <c r="J21" s="494"/>
      <c r="K21" s="494"/>
      <c r="L21" s="494"/>
      <c r="M21" s="494"/>
    </row>
    <row r="22" spans="2:13" s="44" customFormat="1" ht="12.75" outlineLevel="1">
      <c r="B22" s="113">
        <v>2007</v>
      </c>
      <c r="C22" s="113"/>
      <c r="D22" s="113"/>
      <c r="E22" s="490"/>
      <c r="F22" s="490"/>
      <c r="G22" s="490"/>
      <c r="H22" s="490"/>
      <c r="I22" s="490"/>
      <c r="J22" s="490"/>
      <c r="K22" s="490"/>
      <c r="L22" s="490"/>
      <c r="M22" s="490"/>
    </row>
    <row r="23" spans="2:13" s="31" customFormat="1" ht="12.75" outlineLevel="1">
      <c r="B23" s="32" t="s">
        <v>284</v>
      </c>
      <c r="C23" s="32" t="s">
        <v>57</v>
      </c>
      <c r="D23" s="93"/>
      <c r="E23" s="495">
        <f>Kosten!E43</f>
        <v>0</v>
      </c>
      <c r="F23" s="495">
        <f>Kosten!F43</f>
        <v>0</v>
      </c>
      <c r="G23" s="495">
        <f>Kosten!G43</f>
        <v>0</v>
      </c>
      <c r="H23" s="495">
        <f>Kosten!H43</f>
        <v>0</v>
      </c>
      <c r="I23" s="495">
        <f>Kosten!I43</f>
        <v>0</v>
      </c>
      <c r="J23" s="495">
        <f>Kosten!J43</f>
        <v>0</v>
      </c>
      <c r="K23" s="495">
        <f>Kosten!K43</f>
        <v>0</v>
      </c>
      <c r="L23" s="495">
        <f>Kosten!L43</f>
        <v>0</v>
      </c>
      <c r="M23" s="495">
        <f aca="true" t="shared" si="2" ref="M23:M28">SUM(E23:L23)</f>
        <v>0</v>
      </c>
    </row>
    <row r="24" spans="2:13" s="31" customFormat="1" ht="12.75" outlineLevel="1">
      <c r="B24" s="474" t="s">
        <v>183</v>
      </c>
      <c r="C24" s="32" t="s">
        <v>57</v>
      </c>
      <c r="D24" s="33"/>
      <c r="E24" s="495">
        <f>Kosten!E44</f>
        <v>0</v>
      </c>
      <c r="F24" s="495">
        <f>Kosten!F44</f>
        <v>451.936</v>
      </c>
      <c r="G24" s="495">
        <f>Kosten!G44</f>
        <v>0</v>
      </c>
      <c r="H24" s="495">
        <f>Kosten!H44</f>
        <v>1673</v>
      </c>
      <c r="I24" s="495">
        <f>Kosten!I44</f>
        <v>14310.34846000618</v>
      </c>
      <c r="J24" s="495">
        <f>Kosten!J44</f>
        <v>0.13175</v>
      </c>
      <c r="K24" s="495">
        <f>Kosten!K44</f>
        <v>14323.928</v>
      </c>
      <c r="L24" s="495">
        <f>Kosten!L44</f>
        <v>25</v>
      </c>
      <c r="M24" s="495">
        <f t="shared" si="2"/>
        <v>30784.34421000618</v>
      </c>
    </row>
    <row r="25" spans="2:13" s="31" customFormat="1" ht="12.75" outlineLevel="1">
      <c r="B25" s="474" t="s">
        <v>64</v>
      </c>
      <c r="C25" s="32" t="s">
        <v>57</v>
      </c>
      <c r="D25" s="33"/>
      <c r="E25" s="495">
        <f>(E$10-4*E$11)*(1+CPIv2003n2007)</f>
        <v>11225.41010717916</v>
      </c>
      <c r="F25" s="494"/>
      <c r="G25" s="494"/>
      <c r="H25" s="494"/>
      <c r="I25" s="494"/>
      <c r="J25" s="495">
        <f>(J$8-5*J$9)*(1+CPIv2000n2007)</f>
        <v>7860.75365807928</v>
      </c>
      <c r="K25" s="494"/>
      <c r="L25" s="494"/>
      <c r="M25" s="495">
        <f t="shared" si="2"/>
        <v>19086.16376525844</v>
      </c>
    </row>
    <row r="26" spans="2:13" s="31" customFormat="1" ht="12.75" outlineLevel="1">
      <c r="B26" s="474" t="s">
        <v>54</v>
      </c>
      <c r="C26" s="32" t="s">
        <v>57</v>
      </c>
      <c r="D26" s="33"/>
      <c r="E26" s="495">
        <f>E$11*(1+CPIv2003n2007)</f>
        <v>701.5881316986975</v>
      </c>
      <c r="F26" s="494"/>
      <c r="G26" s="494"/>
      <c r="H26" s="494"/>
      <c r="I26" s="494"/>
      <c r="J26" s="495">
        <f>J$9*(1+CPIv2000n2007)</f>
        <v>604.6733583137908</v>
      </c>
      <c r="K26" s="494"/>
      <c r="L26" s="494"/>
      <c r="M26" s="495">
        <f t="shared" si="2"/>
        <v>1306.2614900124881</v>
      </c>
    </row>
    <row r="27" spans="2:13" s="31" customFormat="1" ht="12.75" outlineLevel="1">
      <c r="B27" s="474" t="s">
        <v>55</v>
      </c>
      <c r="C27" s="32" t="s">
        <v>57</v>
      </c>
      <c r="D27" s="33"/>
      <c r="E27" s="495">
        <f>E25*WACC2011+E26</f>
        <v>1386.3381482366262</v>
      </c>
      <c r="F27" s="494"/>
      <c r="G27" s="494"/>
      <c r="H27" s="494"/>
      <c r="I27" s="494"/>
      <c r="J27" s="495">
        <f>J25*WACC2011+J26</f>
        <v>1084.1793314566269</v>
      </c>
      <c r="K27" s="494"/>
      <c r="L27" s="494"/>
      <c r="M27" s="495">
        <f t="shared" si="2"/>
        <v>2470.5174796932533</v>
      </c>
    </row>
    <row r="28" spans="2:13" s="31" customFormat="1" ht="12.75" outlineLevel="1">
      <c r="B28" s="541" t="s">
        <v>58</v>
      </c>
      <c r="C28" s="32" t="s">
        <v>57</v>
      </c>
      <c r="D28" s="33"/>
      <c r="E28" s="495">
        <f aca="true" t="shared" si="3" ref="E28:L28">E23+E24+E27</f>
        <v>1386.3381482366262</v>
      </c>
      <c r="F28" s="495">
        <f t="shared" si="3"/>
        <v>451.936</v>
      </c>
      <c r="G28" s="495">
        <f>G23+G24+G27</f>
        <v>0</v>
      </c>
      <c r="H28" s="495">
        <f t="shared" si="3"/>
        <v>1673</v>
      </c>
      <c r="I28" s="495">
        <f t="shared" si="3"/>
        <v>14310.34846000618</v>
      </c>
      <c r="J28" s="495">
        <f t="shared" si="3"/>
        <v>1084.3110814566269</v>
      </c>
      <c r="K28" s="495">
        <f>K23+K24+K27</f>
        <v>14323.928</v>
      </c>
      <c r="L28" s="495">
        <f t="shared" si="3"/>
        <v>25</v>
      </c>
      <c r="M28" s="495">
        <f t="shared" si="2"/>
        <v>33254.861689699435</v>
      </c>
    </row>
    <row r="29" spans="2:13" s="31" customFormat="1" ht="12.75" outlineLevel="1">
      <c r="B29" s="474"/>
      <c r="C29" s="32"/>
      <c r="E29" s="494"/>
      <c r="F29" s="494"/>
      <c r="G29" s="494"/>
      <c r="H29" s="494"/>
      <c r="I29" s="494"/>
      <c r="J29" s="494"/>
      <c r="K29" s="494"/>
      <c r="L29" s="494"/>
      <c r="M29" s="494"/>
    </row>
    <row r="30" spans="2:13" s="44" customFormat="1" ht="12.75" outlineLevel="1">
      <c r="B30" s="113">
        <v>2008</v>
      </c>
      <c r="C30" s="113"/>
      <c r="D30" s="113"/>
      <c r="E30" s="490"/>
      <c r="F30" s="490"/>
      <c r="G30" s="490"/>
      <c r="H30" s="490"/>
      <c r="I30" s="490"/>
      <c r="J30" s="490"/>
      <c r="K30" s="490"/>
      <c r="L30" s="490"/>
      <c r="M30" s="490"/>
    </row>
    <row r="31" spans="2:13" s="31" customFormat="1" ht="12.75" outlineLevel="1">
      <c r="B31" s="32" t="s">
        <v>284</v>
      </c>
      <c r="C31" s="32" t="s">
        <v>65</v>
      </c>
      <c r="D31" s="93"/>
      <c r="E31" s="495">
        <f>Kosten!E69</f>
        <v>0</v>
      </c>
      <c r="F31" s="495">
        <f>Kosten!F69</f>
        <v>0</v>
      </c>
      <c r="G31" s="495">
        <f>Kosten!G69</f>
        <v>0</v>
      </c>
      <c r="H31" s="495">
        <f>Kosten!H69</f>
        <v>0</v>
      </c>
      <c r="I31" s="495">
        <f>Kosten!I69</f>
        <v>0</v>
      </c>
      <c r="J31" s="495">
        <f>Kosten!J69</f>
        <v>0</v>
      </c>
      <c r="K31" s="495">
        <f>Kosten!K69</f>
        <v>0</v>
      </c>
      <c r="L31" s="495">
        <f>Kosten!L69</f>
        <v>0</v>
      </c>
      <c r="M31" s="495">
        <f aca="true" t="shared" si="4" ref="M31:M36">SUM(E31:L31)</f>
        <v>0</v>
      </c>
    </row>
    <row r="32" spans="2:13" s="31" customFormat="1" ht="12.75" outlineLevel="1">
      <c r="B32" s="474" t="s">
        <v>183</v>
      </c>
      <c r="C32" s="32" t="s">
        <v>65</v>
      </c>
      <c r="D32" s="33"/>
      <c r="E32" s="495">
        <f>Kosten!E70</f>
        <v>0</v>
      </c>
      <c r="F32" s="495">
        <f>Kosten!F70</f>
        <v>482.726</v>
      </c>
      <c r="G32" s="495">
        <f>Kosten!G70</f>
        <v>0</v>
      </c>
      <c r="H32" s="495">
        <f>Kosten!H70</f>
        <v>1677</v>
      </c>
      <c r="I32" s="495">
        <f>Kosten!I70</f>
        <v>14012</v>
      </c>
      <c r="J32" s="495">
        <f>Kosten!J70</f>
        <v>0.1499</v>
      </c>
      <c r="K32" s="495">
        <f>Kosten!K70</f>
        <v>14761.361</v>
      </c>
      <c r="L32" s="495">
        <f>Kosten!L70</f>
        <v>13</v>
      </c>
      <c r="M32" s="495">
        <f t="shared" si="4"/>
        <v>30946.236900000004</v>
      </c>
    </row>
    <row r="33" spans="2:13" s="31" customFormat="1" ht="12.75" outlineLevel="1">
      <c r="B33" s="474" t="s">
        <v>62</v>
      </c>
      <c r="C33" s="32" t="s">
        <v>65</v>
      </c>
      <c r="D33" s="33"/>
      <c r="E33" s="495">
        <f>(E$10-5*E$11)*(1+CPIv2003n2008)</f>
        <v>10639.584017210747</v>
      </c>
      <c r="F33" s="494"/>
      <c r="G33" s="494"/>
      <c r="H33" s="494"/>
      <c r="I33" s="494"/>
      <c r="J33" s="495">
        <f>(J$8-8*J$9)*(1+CPIv2000n2008)</f>
        <v>6113.247652552424</v>
      </c>
      <c r="K33" s="494"/>
      <c r="L33" s="494"/>
      <c r="M33" s="495">
        <f t="shared" si="4"/>
        <v>16752.83166976317</v>
      </c>
    </row>
    <row r="34" spans="2:13" s="31" customFormat="1" ht="12.75" outlineLevel="1">
      <c r="B34" s="474" t="s">
        <v>54</v>
      </c>
      <c r="C34" s="32" t="s">
        <v>65</v>
      </c>
      <c r="D34" s="33"/>
      <c r="E34" s="495">
        <f>E$11*(1+CPIv2003n2008)</f>
        <v>709.3056011473831</v>
      </c>
      <c r="F34" s="494"/>
      <c r="G34" s="494"/>
      <c r="H34" s="494"/>
      <c r="I34" s="494"/>
      <c r="J34" s="495">
        <f>J$9*(1+CPIv2000n2008)</f>
        <v>611.3247652552424</v>
      </c>
      <c r="K34" s="494"/>
      <c r="L34" s="494"/>
      <c r="M34" s="495">
        <f t="shared" si="4"/>
        <v>1320.6303664026254</v>
      </c>
    </row>
    <row r="35" spans="2:13" s="31" customFormat="1" ht="12.75" outlineLevel="1">
      <c r="B35" s="474" t="s">
        <v>55</v>
      </c>
      <c r="C35" s="32" t="s">
        <v>65</v>
      </c>
      <c r="D35" s="33"/>
      <c r="E35" s="495">
        <f>E33*WACC2011+E34</f>
        <v>1358.3202261972388</v>
      </c>
      <c r="F35" s="494"/>
      <c r="G35" s="494"/>
      <c r="H35" s="494"/>
      <c r="I35" s="494"/>
      <c r="J35" s="495">
        <f>J33*WACC2011+J34</f>
        <v>984.2328720609403</v>
      </c>
      <c r="K35" s="494"/>
      <c r="L35" s="494"/>
      <c r="M35" s="495">
        <f t="shared" si="4"/>
        <v>2342.553098258179</v>
      </c>
    </row>
    <row r="36" spans="2:13" s="31" customFormat="1" ht="12.75" outlineLevel="1">
      <c r="B36" s="541" t="s">
        <v>63</v>
      </c>
      <c r="C36" s="32" t="s">
        <v>65</v>
      </c>
      <c r="D36" s="33"/>
      <c r="E36" s="495">
        <f aca="true" t="shared" si="5" ref="E36:L36">E31+E32+E35</f>
        <v>1358.3202261972388</v>
      </c>
      <c r="F36" s="495">
        <f t="shared" si="5"/>
        <v>482.726</v>
      </c>
      <c r="G36" s="495">
        <f>G31+G32+G35</f>
        <v>0</v>
      </c>
      <c r="H36" s="495">
        <f t="shared" si="5"/>
        <v>1677</v>
      </c>
      <c r="I36" s="495">
        <f t="shared" si="5"/>
        <v>14012</v>
      </c>
      <c r="J36" s="495">
        <f t="shared" si="5"/>
        <v>984.3827720609403</v>
      </c>
      <c r="K36" s="495">
        <f>K31+K32+K35</f>
        <v>14761.361</v>
      </c>
      <c r="L36" s="495">
        <f t="shared" si="5"/>
        <v>13</v>
      </c>
      <c r="M36" s="495">
        <f t="shared" si="4"/>
        <v>33288.78999825818</v>
      </c>
    </row>
    <row r="37" spans="2:13" s="31" customFormat="1" ht="12.75" outlineLevel="1">
      <c r="B37" s="474"/>
      <c r="C37" s="32"/>
      <c r="E37" s="494"/>
      <c r="F37" s="494"/>
      <c r="G37" s="494"/>
      <c r="H37" s="494"/>
      <c r="I37" s="494"/>
      <c r="J37" s="494"/>
      <c r="K37" s="494"/>
      <c r="L37" s="494"/>
      <c r="M37" s="494"/>
    </row>
    <row r="38" spans="2:13" s="44" customFormat="1" ht="12.75" outlineLevel="1">
      <c r="B38" s="113">
        <v>2009</v>
      </c>
      <c r="C38" s="113"/>
      <c r="D38" s="113"/>
      <c r="E38" s="490"/>
      <c r="F38" s="490"/>
      <c r="G38" s="490"/>
      <c r="H38" s="490"/>
      <c r="I38" s="490"/>
      <c r="J38" s="490"/>
      <c r="K38" s="490"/>
      <c r="L38" s="490"/>
      <c r="M38" s="490"/>
    </row>
    <row r="39" spans="2:13" s="31" customFormat="1" ht="12.75" outlineLevel="1">
      <c r="B39" s="32" t="s">
        <v>284</v>
      </c>
      <c r="C39" s="32" t="s">
        <v>66</v>
      </c>
      <c r="D39" s="93"/>
      <c r="E39" s="495">
        <f>Kosten!E96</f>
        <v>1</v>
      </c>
      <c r="F39" s="495">
        <f>Kosten!F96</f>
        <v>1</v>
      </c>
      <c r="G39" s="495">
        <f>Kosten!G96</f>
        <v>1</v>
      </c>
      <c r="H39" s="495">
        <f>Kosten!H96</f>
        <v>1</v>
      </c>
      <c r="I39" s="495">
        <f>Kosten!I96</f>
        <v>1</v>
      </c>
      <c r="J39" s="495">
        <f>Kosten!J96</f>
        <v>1</v>
      </c>
      <c r="K39" s="495">
        <f>Kosten!K96</f>
        <v>1</v>
      </c>
      <c r="L39" s="495">
        <f>Kosten!L96</f>
        <v>1</v>
      </c>
      <c r="M39" s="495">
        <f aca="true" t="shared" si="6" ref="M39:M44">SUM(E39:L39)</f>
        <v>8</v>
      </c>
    </row>
    <row r="40" spans="2:13" s="31" customFormat="1" ht="12.75" outlineLevel="1">
      <c r="B40" s="474" t="s">
        <v>183</v>
      </c>
      <c r="C40" s="32" t="s">
        <v>66</v>
      </c>
      <c r="D40" s="33"/>
      <c r="E40" s="495">
        <f>Kosten!E97</f>
        <v>1</v>
      </c>
      <c r="F40" s="495">
        <f>Kosten!F97</f>
        <v>1</v>
      </c>
      <c r="G40" s="495">
        <f>Kosten!G97</f>
        <v>1</v>
      </c>
      <c r="H40" s="495">
        <f>Kosten!H97</f>
        <v>1</v>
      </c>
      <c r="I40" s="495">
        <f>Kosten!I97</f>
        <v>1</v>
      </c>
      <c r="J40" s="495">
        <f>Kosten!J97</f>
        <v>1</v>
      </c>
      <c r="K40" s="495">
        <f>Kosten!K97</f>
        <v>1</v>
      </c>
      <c r="L40" s="495">
        <f>Kosten!L97</f>
        <v>1</v>
      </c>
      <c r="M40" s="495">
        <f t="shared" si="6"/>
        <v>8</v>
      </c>
    </row>
    <row r="41" spans="2:13" s="31" customFormat="1" ht="12.75" outlineLevel="1">
      <c r="B41" s="474" t="s">
        <v>61</v>
      </c>
      <c r="C41" s="32" t="s">
        <v>66</v>
      </c>
      <c r="D41" s="33"/>
      <c r="E41" s="495">
        <f>(E$10-6*E$11)*(1+CPIv2003n2009)</f>
        <v>10248.04732537739</v>
      </c>
      <c r="F41" s="494"/>
      <c r="G41" s="494"/>
      <c r="H41" s="494"/>
      <c r="I41" s="494"/>
      <c r="J41" s="495">
        <f>(J$8-9*J$9)*(1+CPIv2000n2009)</f>
        <v>5677.9844196906915</v>
      </c>
      <c r="K41" s="494"/>
      <c r="L41" s="494"/>
      <c r="M41" s="495">
        <f t="shared" si="6"/>
        <v>15926.031745068081</v>
      </c>
    </row>
    <row r="42" spans="2:13" s="31" customFormat="1" ht="12.75" outlineLevel="1">
      <c r="B42" s="474" t="s">
        <v>60</v>
      </c>
      <c r="C42" s="32" t="s">
        <v>66</v>
      </c>
      <c r="D42" s="33"/>
      <c r="E42" s="495">
        <f>E$11*(1+CPIv2003n2009)</f>
        <v>732.0033803840993</v>
      </c>
      <c r="F42" s="494"/>
      <c r="G42" s="494"/>
      <c r="H42" s="494"/>
      <c r="I42" s="494"/>
      <c r="J42" s="495">
        <f>J$9*(1+CPIv2000n2009)</f>
        <v>630.8871577434102</v>
      </c>
      <c r="K42" s="494"/>
      <c r="L42" s="494"/>
      <c r="M42" s="495">
        <f t="shared" si="6"/>
        <v>1362.8905381275094</v>
      </c>
    </row>
    <row r="43" spans="2:13" s="31" customFormat="1" ht="12.75" outlineLevel="1">
      <c r="B43" s="474" t="s">
        <v>55</v>
      </c>
      <c r="C43" s="32" t="s">
        <v>66</v>
      </c>
      <c r="D43" s="33"/>
      <c r="E43" s="495">
        <f>E41*WACC2011+E42</f>
        <v>1357.1342672321202</v>
      </c>
      <c r="F43" s="494"/>
      <c r="G43" s="494"/>
      <c r="H43" s="494"/>
      <c r="I43" s="494"/>
      <c r="J43" s="495">
        <f>J41*WACC2011+J42</f>
        <v>977.2442073445424</v>
      </c>
      <c r="K43" s="494"/>
      <c r="L43" s="494"/>
      <c r="M43" s="495">
        <f t="shared" si="6"/>
        <v>2334.3784745766625</v>
      </c>
    </row>
    <row r="44" spans="2:13" s="31" customFormat="1" ht="12.75" outlineLevel="1">
      <c r="B44" s="541" t="s">
        <v>59</v>
      </c>
      <c r="C44" s="32" t="s">
        <v>66</v>
      </c>
      <c r="D44" s="33"/>
      <c r="E44" s="495">
        <f>E39+E40+E43</f>
        <v>1359.1342672321202</v>
      </c>
      <c r="F44" s="495">
        <f aca="true" t="shared" si="7" ref="F44:L44">F39+F40+F43</f>
        <v>2</v>
      </c>
      <c r="G44" s="495">
        <f>G39+G40+G43</f>
        <v>2</v>
      </c>
      <c r="H44" s="495">
        <f t="shared" si="7"/>
        <v>2</v>
      </c>
      <c r="I44" s="495">
        <f t="shared" si="7"/>
        <v>2</v>
      </c>
      <c r="J44" s="495">
        <f t="shared" si="7"/>
        <v>979.2442073445424</v>
      </c>
      <c r="K44" s="495">
        <f>K39+K40+K43</f>
        <v>2</v>
      </c>
      <c r="L44" s="495">
        <f t="shared" si="7"/>
        <v>2</v>
      </c>
      <c r="M44" s="495">
        <f t="shared" si="6"/>
        <v>2350.3784745766625</v>
      </c>
    </row>
    <row r="45" spans="2:13" s="31" customFormat="1" ht="12.75" outlineLevel="1">
      <c r="B45" s="474"/>
      <c r="C45" s="32"/>
      <c r="E45" s="494"/>
      <c r="F45" s="494"/>
      <c r="G45" s="494"/>
      <c r="H45" s="494"/>
      <c r="I45" s="494"/>
      <c r="J45" s="494"/>
      <c r="K45" s="494"/>
      <c r="L45" s="494"/>
      <c r="M45" s="494"/>
    </row>
    <row r="46" spans="2:13" s="44" customFormat="1" ht="12.75" outlineLevel="1">
      <c r="B46" s="113" t="s">
        <v>578</v>
      </c>
      <c r="C46" s="113"/>
      <c r="D46" s="113"/>
      <c r="E46" s="490"/>
      <c r="F46" s="490"/>
      <c r="G46" s="490"/>
      <c r="H46" s="490"/>
      <c r="I46" s="490"/>
      <c r="J46" s="490"/>
      <c r="K46" s="490"/>
      <c r="L46" s="490"/>
      <c r="M46" s="490"/>
    </row>
    <row r="47" spans="2:13" s="31" customFormat="1" ht="12.75" outlineLevel="1">
      <c r="B47" s="32" t="s">
        <v>284</v>
      </c>
      <c r="C47" s="32" t="s">
        <v>66</v>
      </c>
      <c r="D47" s="93"/>
      <c r="E47" s="495">
        <f>E39</f>
        <v>1</v>
      </c>
      <c r="F47" s="495">
        <f aca="true" t="shared" si="8" ref="F47:L47">F39</f>
        <v>1</v>
      </c>
      <c r="G47" s="495">
        <f>G39</f>
        <v>1</v>
      </c>
      <c r="H47" s="495">
        <f t="shared" si="8"/>
        <v>1</v>
      </c>
      <c r="I47" s="495">
        <f t="shared" si="8"/>
        <v>1</v>
      </c>
      <c r="J47" s="495">
        <f t="shared" si="8"/>
        <v>1</v>
      </c>
      <c r="K47" s="495">
        <f>K39</f>
        <v>1</v>
      </c>
      <c r="L47" s="495">
        <f t="shared" si="8"/>
        <v>1</v>
      </c>
      <c r="M47" s="495">
        <f aca="true" t="shared" si="9" ref="M47:M52">SUM(E47:L47)</f>
        <v>8</v>
      </c>
    </row>
    <row r="48" spans="2:13" s="31" customFormat="1" ht="12.75" outlineLevel="1">
      <c r="B48" s="474" t="s">
        <v>69</v>
      </c>
      <c r="C48" s="32" t="s">
        <v>66</v>
      </c>
      <c r="D48" s="33"/>
      <c r="E48" s="495">
        <f>E40</f>
        <v>1</v>
      </c>
      <c r="F48" s="495">
        <f aca="true" t="shared" si="10" ref="F48:L48">F40</f>
        <v>1</v>
      </c>
      <c r="G48" s="495">
        <f>G40</f>
        <v>1</v>
      </c>
      <c r="H48" s="495">
        <f t="shared" si="10"/>
        <v>1</v>
      </c>
      <c r="I48" s="495">
        <f t="shared" si="10"/>
        <v>1</v>
      </c>
      <c r="J48" s="495">
        <f t="shared" si="10"/>
        <v>1</v>
      </c>
      <c r="K48" s="495">
        <f>K40</f>
        <v>1</v>
      </c>
      <c r="L48" s="495">
        <f t="shared" si="10"/>
        <v>1</v>
      </c>
      <c r="M48" s="495">
        <f t="shared" si="9"/>
        <v>8</v>
      </c>
    </row>
    <row r="49" spans="2:13" s="31" customFormat="1" ht="12.75" outlineLevel="1">
      <c r="B49" s="474" t="s">
        <v>68</v>
      </c>
      <c r="C49" s="32" t="s">
        <v>66</v>
      </c>
      <c r="D49" s="33"/>
      <c r="E49" s="495">
        <f>E41</f>
        <v>10248.04732537739</v>
      </c>
      <c r="F49" s="494"/>
      <c r="G49" s="494"/>
      <c r="H49" s="494"/>
      <c r="I49" s="494"/>
      <c r="J49" s="495">
        <f>J41</f>
        <v>5677.9844196906915</v>
      </c>
      <c r="K49" s="494"/>
      <c r="L49" s="494"/>
      <c r="M49" s="495">
        <f t="shared" si="9"/>
        <v>15926.031745068081</v>
      </c>
    </row>
    <row r="50" spans="2:13" s="31" customFormat="1" ht="12.75" outlineLevel="1">
      <c r="B50" s="474" t="s">
        <v>60</v>
      </c>
      <c r="C50" s="32" t="s">
        <v>66</v>
      </c>
      <c r="D50" s="33"/>
      <c r="E50" s="495">
        <f>E42</f>
        <v>732.0033803840993</v>
      </c>
      <c r="F50" s="494"/>
      <c r="G50" s="494"/>
      <c r="H50" s="494"/>
      <c r="I50" s="494"/>
      <c r="J50" s="495">
        <f>J42</f>
        <v>630.8871577434102</v>
      </c>
      <c r="K50" s="494"/>
      <c r="L50" s="494"/>
      <c r="M50" s="495">
        <f t="shared" si="9"/>
        <v>1362.8905381275094</v>
      </c>
    </row>
    <row r="51" spans="2:13" s="31" customFormat="1" ht="12.75" outlineLevel="1">
      <c r="B51" s="474" t="s">
        <v>285</v>
      </c>
      <c r="C51" s="32" t="s">
        <v>66</v>
      </c>
      <c r="D51" s="33"/>
      <c r="E51" s="495">
        <f>E49*WACC2011+E50</f>
        <v>1357.1342672321202</v>
      </c>
      <c r="F51" s="494"/>
      <c r="G51" s="494"/>
      <c r="H51" s="494"/>
      <c r="I51" s="494"/>
      <c r="J51" s="495">
        <f>J49*WACC2011+J50</f>
        <v>977.2442073445424</v>
      </c>
      <c r="K51" s="494"/>
      <c r="L51" s="494"/>
      <c r="M51" s="495">
        <f t="shared" si="9"/>
        <v>2334.3784745766625</v>
      </c>
    </row>
    <row r="52" spans="2:13" s="31" customFormat="1" ht="12.75" outlineLevel="1">
      <c r="B52" s="541" t="s">
        <v>92</v>
      </c>
      <c r="C52" s="32" t="s">
        <v>67</v>
      </c>
      <c r="D52" s="33"/>
      <c r="E52" s="495">
        <f>(E47+E48+E51)*(1+CPI2010)</f>
        <v>1363.2116700338165</v>
      </c>
      <c r="F52" s="495">
        <f aca="true" t="shared" si="11" ref="F52:L52">(F47+F48+F51)*(1+CPI2010)</f>
        <v>2.006</v>
      </c>
      <c r="G52" s="495">
        <f>(G47+G48+G51)*(1+CPI2010)</f>
        <v>2.006</v>
      </c>
      <c r="H52" s="495">
        <f t="shared" si="11"/>
        <v>2.006</v>
      </c>
      <c r="I52" s="495">
        <f t="shared" si="11"/>
        <v>2.006</v>
      </c>
      <c r="J52" s="495">
        <f t="shared" si="11"/>
        <v>982.1819399665759</v>
      </c>
      <c r="K52" s="495">
        <f>(K47+K48+K51)*(1+CPI2010)</f>
        <v>2.006</v>
      </c>
      <c r="L52" s="495">
        <f t="shared" si="11"/>
        <v>2.006</v>
      </c>
      <c r="M52" s="495">
        <f t="shared" si="9"/>
        <v>2357.4296100003926</v>
      </c>
    </row>
    <row r="53" spans="5:13" ht="12.75" outlineLevel="1">
      <c r="E53" s="496"/>
      <c r="F53" s="497"/>
      <c r="G53" s="497"/>
      <c r="H53" s="497"/>
      <c r="I53" s="497"/>
      <c r="J53" s="497"/>
      <c r="K53" s="497"/>
      <c r="L53" s="497"/>
      <c r="M53" s="497"/>
    </row>
    <row r="54" spans="5:13" ht="12.75" outlineLevel="1">
      <c r="E54" s="496"/>
      <c r="F54" s="497"/>
      <c r="G54" s="497"/>
      <c r="H54" s="497"/>
      <c r="I54" s="497"/>
      <c r="J54" s="497"/>
      <c r="K54" s="497"/>
      <c r="L54" s="497"/>
      <c r="M54" s="497"/>
    </row>
    <row r="55" spans="5:13" ht="12.75">
      <c r="E55" s="497"/>
      <c r="F55" s="497"/>
      <c r="G55" s="497"/>
      <c r="H55" s="497"/>
      <c r="I55" s="497"/>
      <c r="J55" s="497"/>
      <c r="K55" s="497"/>
      <c r="L55" s="497"/>
      <c r="M55" s="497"/>
    </row>
    <row r="56" spans="2:13" s="42" customFormat="1" ht="12.75">
      <c r="B56" s="83" t="s">
        <v>282</v>
      </c>
      <c r="C56" s="83"/>
      <c r="D56" s="83"/>
      <c r="E56" s="491"/>
      <c r="F56" s="491"/>
      <c r="G56" s="491"/>
      <c r="H56" s="491"/>
      <c r="I56" s="491"/>
      <c r="J56" s="491"/>
      <c r="K56" s="491"/>
      <c r="L56" s="491"/>
      <c r="M56" s="491"/>
    </row>
    <row r="57" spans="5:13" ht="12.75">
      <c r="E57" s="497"/>
      <c r="F57" s="497"/>
      <c r="G57" s="497"/>
      <c r="H57" s="497"/>
      <c r="I57" s="497"/>
      <c r="J57" s="497"/>
      <c r="K57" s="497"/>
      <c r="L57" s="497"/>
      <c r="M57" s="497"/>
    </row>
    <row r="58" spans="2:13" ht="12.75">
      <c r="B58" s="500">
        <v>2006</v>
      </c>
      <c r="C58" s="539"/>
      <c r="E58" s="497"/>
      <c r="F58" s="497"/>
      <c r="G58" s="497"/>
      <c r="H58" s="497"/>
      <c r="I58" s="497"/>
      <c r="J58" s="497"/>
      <c r="K58" s="497"/>
      <c r="L58" s="497"/>
      <c r="M58" s="497"/>
    </row>
    <row r="59" spans="2:13" ht="12.75">
      <c r="B59" s="470" t="s">
        <v>70</v>
      </c>
      <c r="C59" s="32" t="s">
        <v>52</v>
      </c>
      <c r="E59" s="493"/>
      <c r="F59" s="493">
        <v>223.156</v>
      </c>
      <c r="G59" s="493"/>
      <c r="H59" s="493"/>
      <c r="I59" s="493">
        <v>338.192</v>
      </c>
      <c r="J59" s="493"/>
      <c r="K59" s="493"/>
      <c r="L59" s="493"/>
      <c r="M59" s="498">
        <f>SUM(E59:L59)</f>
        <v>561.348</v>
      </c>
    </row>
    <row r="60" spans="2:13" ht="12.75">
      <c r="B60" s="470" t="s">
        <v>71</v>
      </c>
      <c r="C60" s="32" t="s">
        <v>52</v>
      </c>
      <c r="E60" s="493"/>
      <c r="F60" s="493">
        <v>1259</v>
      </c>
      <c r="G60" s="493"/>
      <c r="H60" s="493"/>
      <c r="I60" s="493">
        <v>4487.1106005</v>
      </c>
      <c r="J60" s="493"/>
      <c r="K60" s="493"/>
      <c r="L60" s="493"/>
      <c r="M60" s="498">
        <f>SUM(E60:L60)</f>
        <v>5746.1106005</v>
      </c>
    </row>
    <row r="61" spans="2:13" ht="12.75">
      <c r="B61" s="470" t="s">
        <v>72</v>
      </c>
      <c r="C61" s="32" t="s">
        <v>52</v>
      </c>
      <c r="E61" s="493"/>
      <c r="F61" s="493">
        <v>72</v>
      </c>
      <c r="G61" s="493"/>
      <c r="H61" s="493"/>
      <c r="I61" s="493">
        <v>45.3243495</v>
      </c>
      <c r="J61" s="493"/>
      <c r="K61" s="493"/>
      <c r="L61" s="493"/>
      <c r="M61" s="498">
        <f>SUM(E61:L61)</f>
        <v>117.3243495</v>
      </c>
    </row>
    <row r="62" spans="2:13" ht="12.75">
      <c r="B62" s="470" t="s">
        <v>73</v>
      </c>
      <c r="C62" s="32" t="s">
        <v>52</v>
      </c>
      <c r="E62" s="498"/>
      <c r="F62" s="498">
        <f>F60*WACC2011+F61</f>
        <v>148.79899999999998</v>
      </c>
      <c r="G62" s="498"/>
      <c r="H62" s="498"/>
      <c r="I62" s="498">
        <f>I60*WACC2011+I61</f>
        <v>319.0380961305</v>
      </c>
      <c r="J62" s="498"/>
      <c r="K62" s="498"/>
      <c r="L62" s="498"/>
      <c r="M62" s="498">
        <f>SUM(E62:L62)</f>
        <v>467.83709613049996</v>
      </c>
    </row>
    <row r="63" spans="2:13" ht="12.75">
      <c r="B63" s="475" t="s">
        <v>576</v>
      </c>
      <c r="C63" s="32" t="s">
        <v>52</v>
      </c>
      <c r="E63" s="498"/>
      <c r="F63" s="498">
        <f>F59+F62</f>
        <v>371.955</v>
      </c>
      <c r="G63" s="498"/>
      <c r="H63" s="498"/>
      <c r="I63" s="498">
        <f>I59+I62</f>
        <v>657.2300961305</v>
      </c>
      <c r="J63" s="498"/>
      <c r="K63" s="498"/>
      <c r="L63" s="498"/>
      <c r="M63" s="498">
        <f>SUM(E63:L63)</f>
        <v>1029.1850961305</v>
      </c>
    </row>
    <row r="64" spans="5:13" ht="12.75">
      <c r="E64" s="497"/>
      <c r="F64" s="497"/>
      <c r="G64" s="497"/>
      <c r="H64" s="497"/>
      <c r="I64" s="497"/>
      <c r="J64" s="497"/>
      <c r="K64" s="497"/>
      <c r="L64" s="497"/>
      <c r="M64" s="497"/>
    </row>
    <row r="65" spans="2:13" ht="12.75">
      <c r="B65" s="500">
        <v>2007</v>
      </c>
      <c r="C65" s="539"/>
      <c r="E65" s="497"/>
      <c r="F65" s="497"/>
      <c r="G65" s="497"/>
      <c r="H65" s="497"/>
      <c r="I65" s="497"/>
      <c r="J65" s="497"/>
      <c r="K65" s="497"/>
      <c r="L65" s="497"/>
      <c r="M65" s="497"/>
    </row>
    <row r="66" spans="2:13" ht="12.75">
      <c r="B66" s="470" t="s">
        <v>74</v>
      </c>
      <c r="C66" s="32" t="s">
        <v>57</v>
      </c>
      <c r="E66" s="493"/>
      <c r="F66" s="493">
        <v>135.047</v>
      </c>
      <c r="G66" s="493"/>
      <c r="H66" s="493"/>
      <c r="I66" s="493">
        <v>302.591</v>
      </c>
      <c r="J66" s="493"/>
      <c r="K66" s="493"/>
      <c r="L66" s="493"/>
      <c r="M66" s="498">
        <f>SUM(E66:L66)</f>
        <v>437.63800000000003</v>
      </c>
    </row>
    <row r="67" spans="2:13" ht="12.75">
      <c r="B67" s="470" t="s">
        <v>71</v>
      </c>
      <c r="C67" s="32" t="s">
        <v>57</v>
      </c>
      <c r="E67" s="493"/>
      <c r="F67" s="493">
        <v>1204</v>
      </c>
      <c r="G67" s="493"/>
      <c r="H67" s="493"/>
      <c r="I67" s="493">
        <v>5126.277148821</v>
      </c>
      <c r="J67" s="493"/>
      <c r="K67" s="493"/>
      <c r="L67" s="493"/>
      <c r="M67" s="498">
        <f>SUM(E67:L67)</f>
        <v>6330.277148821</v>
      </c>
    </row>
    <row r="68" spans="2:13" ht="12.75">
      <c r="B68" s="470" t="s">
        <v>75</v>
      </c>
      <c r="C68" s="32" t="s">
        <v>57</v>
      </c>
      <c r="E68" s="493"/>
      <c r="F68" s="493">
        <v>73</v>
      </c>
      <c r="G68" s="493"/>
      <c r="H68" s="493"/>
      <c r="I68" s="493">
        <v>98.667930086</v>
      </c>
      <c r="J68" s="493"/>
      <c r="K68" s="493"/>
      <c r="L68" s="493"/>
      <c r="M68" s="498">
        <f>SUM(E68:L68)</f>
        <v>171.667930086</v>
      </c>
    </row>
    <row r="69" spans="2:13" ht="12.75">
      <c r="B69" s="470" t="s">
        <v>73</v>
      </c>
      <c r="C69" s="32" t="s">
        <v>57</v>
      </c>
      <c r="E69" s="498"/>
      <c r="F69" s="498">
        <f>F67*WACC2011+F68</f>
        <v>146.44400000000002</v>
      </c>
      <c r="G69" s="498"/>
      <c r="H69" s="498"/>
      <c r="I69" s="498">
        <f>I67*WACC2011+I68</f>
        <v>411.370836164081</v>
      </c>
      <c r="J69" s="498"/>
      <c r="K69" s="498"/>
      <c r="L69" s="498"/>
      <c r="M69" s="498">
        <f>SUM(E69:L69)</f>
        <v>557.814836164081</v>
      </c>
    </row>
    <row r="70" spans="2:13" ht="12.75">
      <c r="B70" s="475" t="s">
        <v>576</v>
      </c>
      <c r="C70" s="32" t="s">
        <v>57</v>
      </c>
      <c r="E70" s="498"/>
      <c r="F70" s="498">
        <f>F66+F69</f>
        <v>281.491</v>
      </c>
      <c r="G70" s="498"/>
      <c r="H70" s="498"/>
      <c r="I70" s="498">
        <f>I66+I69</f>
        <v>713.961836164081</v>
      </c>
      <c r="J70" s="498"/>
      <c r="K70" s="498"/>
      <c r="L70" s="498"/>
      <c r="M70" s="498">
        <f>SUM(E70:L70)</f>
        <v>995.452836164081</v>
      </c>
    </row>
    <row r="71" spans="5:13" ht="12.75">
      <c r="E71" s="497"/>
      <c r="F71" s="497"/>
      <c r="G71" s="497"/>
      <c r="H71" s="497"/>
      <c r="I71" s="497"/>
      <c r="J71" s="497"/>
      <c r="K71" s="497"/>
      <c r="L71" s="497"/>
      <c r="M71" s="497"/>
    </row>
    <row r="72" spans="2:13" ht="12.75">
      <c r="B72" s="500">
        <v>2008</v>
      </c>
      <c r="C72" s="539"/>
      <c r="E72" s="497"/>
      <c r="F72" s="497"/>
      <c r="G72" s="497"/>
      <c r="H72" s="497"/>
      <c r="I72" s="497"/>
      <c r="J72" s="497"/>
      <c r="K72" s="497"/>
      <c r="L72" s="497"/>
      <c r="M72" s="497"/>
    </row>
    <row r="73" spans="2:13" ht="12.75">
      <c r="B73" s="470" t="s">
        <v>70</v>
      </c>
      <c r="C73" s="32" t="s">
        <v>65</v>
      </c>
      <c r="E73" s="493"/>
      <c r="F73" s="493">
        <v>144.854</v>
      </c>
      <c r="G73" s="493"/>
      <c r="H73" s="493"/>
      <c r="I73" s="493">
        <f>498.594</f>
        <v>498.594</v>
      </c>
      <c r="J73" s="493"/>
      <c r="K73" s="493"/>
      <c r="L73" s="493"/>
      <c r="M73" s="498">
        <f>SUM(E73:L73)</f>
        <v>643.448</v>
      </c>
    </row>
    <row r="74" spans="2:13" ht="12.75">
      <c r="B74" s="470" t="s">
        <v>76</v>
      </c>
      <c r="C74" s="32" t="s">
        <v>65</v>
      </c>
      <c r="E74" s="493"/>
      <c r="F74" s="493">
        <v>1143</v>
      </c>
      <c r="G74" s="493"/>
      <c r="H74" s="493"/>
      <c r="I74" s="493">
        <v>6038.195684998784</v>
      </c>
      <c r="J74" s="493"/>
      <c r="K74" s="493"/>
      <c r="L74" s="493"/>
      <c r="M74" s="498">
        <f>SUM(E74:L74)</f>
        <v>7181.195684998784</v>
      </c>
    </row>
    <row r="75" spans="2:13" ht="12.75">
      <c r="B75" s="470" t="s">
        <v>72</v>
      </c>
      <c r="C75" s="32" t="s">
        <v>65</v>
      </c>
      <c r="E75" s="493"/>
      <c r="F75" s="493">
        <v>74</v>
      </c>
      <c r="G75" s="493"/>
      <c r="H75" s="493"/>
      <c r="I75" s="493">
        <v>116.29593245924598</v>
      </c>
      <c r="J75" s="493"/>
      <c r="K75" s="493"/>
      <c r="L75" s="493"/>
      <c r="M75" s="498">
        <f>SUM(E75:L75)</f>
        <v>190.295932459246</v>
      </c>
    </row>
    <row r="76" spans="2:13" ht="12.75">
      <c r="B76" s="470" t="s">
        <v>73</v>
      </c>
      <c r="C76" s="32" t="s">
        <v>65</v>
      </c>
      <c r="E76" s="498"/>
      <c r="F76" s="498">
        <f>F74*WACC2011+F75</f>
        <v>143.723</v>
      </c>
      <c r="G76" s="498"/>
      <c r="H76" s="498"/>
      <c r="I76" s="498">
        <f>I74*WACC2011+I75</f>
        <v>484.6258692441718</v>
      </c>
      <c r="J76" s="498"/>
      <c r="K76" s="498"/>
      <c r="L76" s="498"/>
      <c r="M76" s="498">
        <f>SUM(E76:L76)</f>
        <v>628.3488692441717</v>
      </c>
    </row>
    <row r="77" spans="2:13" ht="12.75">
      <c r="B77" s="475" t="s">
        <v>576</v>
      </c>
      <c r="C77" s="32" t="s">
        <v>65</v>
      </c>
      <c r="E77" s="498"/>
      <c r="F77" s="498">
        <f>F73+F76</f>
        <v>288.577</v>
      </c>
      <c r="G77" s="498"/>
      <c r="H77" s="498"/>
      <c r="I77" s="498">
        <f>I73+I76</f>
        <v>983.2198692441718</v>
      </c>
      <c r="J77" s="498"/>
      <c r="K77" s="498"/>
      <c r="L77" s="498"/>
      <c r="M77" s="498">
        <f>SUM(E77:L77)</f>
        <v>1271.7968692441718</v>
      </c>
    </row>
    <row r="78" spans="5:13" ht="12.75">
      <c r="E78" s="497"/>
      <c r="F78" s="497"/>
      <c r="G78" s="497"/>
      <c r="H78" s="497"/>
      <c r="I78" s="497"/>
      <c r="J78" s="497"/>
      <c r="K78" s="497"/>
      <c r="L78" s="497"/>
      <c r="M78" s="497"/>
    </row>
    <row r="79" spans="2:13" ht="12.75">
      <c r="B79" s="500">
        <v>2009</v>
      </c>
      <c r="C79" s="539"/>
      <c r="E79" s="497"/>
      <c r="F79" s="497"/>
      <c r="G79" s="497"/>
      <c r="H79" s="497"/>
      <c r="I79" s="497"/>
      <c r="J79" s="497"/>
      <c r="K79" s="497"/>
      <c r="L79" s="497"/>
      <c r="M79" s="497"/>
    </row>
    <row r="80" spans="2:13" ht="12.75">
      <c r="B80" s="470" t="s">
        <v>70</v>
      </c>
      <c r="C80" s="32" t="s">
        <v>66</v>
      </c>
      <c r="E80" s="493"/>
      <c r="F80" s="493">
        <v>1</v>
      </c>
      <c r="G80" s="493"/>
      <c r="H80" s="493"/>
      <c r="I80" s="493">
        <v>1</v>
      </c>
      <c r="J80" s="493"/>
      <c r="K80" s="493"/>
      <c r="L80" s="493"/>
      <c r="M80" s="498">
        <f>SUM(E80:L80)</f>
        <v>2</v>
      </c>
    </row>
    <row r="81" spans="2:13" ht="12.75">
      <c r="B81" s="470" t="s">
        <v>76</v>
      </c>
      <c r="C81" s="32" t="s">
        <v>66</v>
      </c>
      <c r="E81" s="493"/>
      <c r="F81" s="493">
        <v>1</v>
      </c>
      <c r="G81" s="493"/>
      <c r="H81" s="493"/>
      <c r="I81" s="493">
        <v>1</v>
      </c>
      <c r="J81" s="493"/>
      <c r="K81" s="493"/>
      <c r="L81" s="493"/>
      <c r="M81" s="498">
        <f>SUM(E81:L81)</f>
        <v>2</v>
      </c>
    </row>
    <row r="82" spans="2:13" ht="12.75">
      <c r="B82" s="470" t="s">
        <v>75</v>
      </c>
      <c r="C82" s="32" t="s">
        <v>66</v>
      </c>
      <c r="E82" s="493"/>
      <c r="F82" s="493">
        <v>1</v>
      </c>
      <c r="G82" s="493"/>
      <c r="H82" s="493"/>
      <c r="I82" s="493">
        <v>1</v>
      </c>
      <c r="J82" s="493"/>
      <c r="K82" s="493"/>
      <c r="L82" s="493"/>
      <c r="M82" s="498">
        <f>SUM(E82:L82)</f>
        <v>2</v>
      </c>
    </row>
    <row r="83" spans="2:13" ht="12.75">
      <c r="B83" s="470" t="s">
        <v>73</v>
      </c>
      <c r="C83" s="32" t="s">
        <v>66</v>
      </c>
      <c r="E83" s="498"/>
      <c r="F83" s="498">
        <f>F81*WACC2011+F82</f>
        <v>1.061</v>
      </c>
      <c r="G83" s="498"/>
      <c r="H83" s="498"/>
      <c r="I83" s="498">
        <f>I81*WACC2011+I82</f>
        <v>1.061</v>
      </c>
      <c r="J83" s="498"/>
      <c r="K83" s="498"/>
      <c r="L83" s="498"/>
      <c r="M83" s="498">
        <f>SUM(E83:L83)</f>
        <v>2.122</v>
      </c>
    </row>
    <row r="84" spans="2:13" ht="12.75">
      <c r="B84" s="475" t="s">
        <v>576</v>
      </c>
      <c r="C84" s="32" t="s">
        <v>66</v>
      </c>
      <c r="E84" s="498"/>
      <c r="F84" s="498">
        <f>F80+F83</f>
        <v>2.061</v>
      </c>
      <c r="G84" s="498"/>
      <c r="H84" s="498"/>
      <c r="I84" s="498">
        <f>I80+I83</f>
        <v>2.061</v>
      </c>
      <c r="J84" s="498"/>
      <c r="K84" s="498"/>
      <c r="L84" s="498"/>
      <c r="M84" s="498">
        <f>SUM(E84:L84)</f>
        <v>4.122</v>
      </c>
    </row>
    <row r="85" spans="5:13" ht="12.75">
      <c r="E85" s="497"/>
      <c r="F85" s="497"/>
      <c r="G85" s="497"/>
      <c r="H85" s="497"/>
      <c r="I85" s="497"/>
      <c r="J85" s="497"/>
      <c r="K85" s="497"/>
      <c r="L85" s="497"/>
      <c r="M85" s="497"/>
    </row>
    <row r="86" spans="2:13" ht="12.75">
      <c r="B86" s="113" t="s">
        <v>577</v>
      </c>
      <c r="C86" s="113"/>
      <c r="E86" s="497"/>
      <c r="F86" s="497"/>
      <c r="G86" s="497"/>
      <c r="H86" s="497"/>
      <c r="I86" s="497"/>
      <c r="J86" s="497"/>
      <c r="K86" s="497"/>
      <c r="L86" s="497"/>
      <c r="M86" s="497"/>
    </row>
    <row r="87" spans="2:13" ht="12.75">
      <c r="B87" s="470" t="s">
        <v>81</v>
      </c>
      <c r="C87" s="32" t="s">
        <v>67</v>
      </c>
      <c r="E87" s="498">
        <f aca="true" t="shared" si="12" ref="E87:L89">E80*(1+CPI2010)</f>
        <v>0</v>
      </c>
      <c r="F87" s="498">
        <f t="shared" si="12"/>
        <v>1.003</v>
      </c>
      <c r="G87" s="498">
        <f t="shared" si="12"/>
        <v>0</v>
      </c>
      <c r="H87" s="498">
        <f t="shared" si="12"/>
        <v>0</v>
      </c>
      <c r="I87" s="498">
        <f t="shared" si="12"/>
        <v>1.003</v>
      </c>
      <c r="J87" s="498">
        <f t="shared" si="12"/>
        <v>0</v>
      </c>
      <c r="K87" s="498">
        <f t="shared" si="12"/>
        <v>0</v>
      </c>
      <c r="L87" s="498">
        <f t="shared" si="12"/>
        <v>0</v>
      </c>
      <c r="M87" s="498">
        <f>SUM(E87:L87)</f>
        <v>2.006</v>
      </c>
    </row>
    <row r="88" spans="2:13" ht="12.75">
      <c r="B88" s="470" t="s">
        <v>80</v>
      </c>
      <c r="C88" s="32" t="s">
        <v>67</v>
      </c>
      <c r="E88" s="498">
        <f t="shared" si="12"/>
        <v>0</v>
      </c>
      <c r="F88" s="498">
        <f t="shared" si="12"/>
        <v>1.003</v>
      </c>
      <c r="G88" s="498">
        <f t="shared" si="12"/>
        <v>0</v>
      </c>
      <c r="H88" s="498">
        <f t="shared" si="12"/>
        <v>0</v>
      </c>
      <c r="I88" s="498">
        <f t="shared" si="12"/>
        <v>1.003</v>
      </c>
      <c r="J88" s="498">
        <f t="shared" si="12"/>
        <v>0</v>
      </c>
      <c r="K88" s="498">
        <f t="shared" si="12"/>
        <v>0</v>
      </c>
      <c r="L88" s="498">
        <f t="shared" si="12"/>
        <v>0</v>
      </c>
      <c r="M88" s="498">
        <f>SUM(E88:L88)</f>
        <v>2.006</v>
      </c>
    </row>
    <row r="89" spans="2:13" ht="12.75">
      <c r="B89" s="470" t="s">
        <v>79</v>
      </c>
      <c r="C89" s="32" t="s">
        <v>67</v>
      </c>
      <c r="E89" s="498">
        <f t="shared" si="12"/>
        <v>0</v>
      </c>
      <c r="F89" s="498">
        <f t="shared" si="12"/>
        <v>1.003</v>
      </c>
      <c r="G89" s="498">
        <f t="shared" si="12"/>
        <v>0</v>
      </c>
      <c r="H89" s="498">
        <f t="shared" si="12"/>
        <v>0</v>
      </c>
      <c r="I89" s="498">
        <f t="shared" si="12"/>
        <v>1.003</v>
      </c>
      <c r="J89" s="498">
        <f t="shared" si="12"/>
        <v>0</v>
      </c>
      <c r="K89" s="498">
        <f t="shared" si="12"/>
        <v>0</v>
      </c>
      <c r="L89" s="498">
        <f t="shared" si="12"/>
        <v>0</v>
      </c>
      <c r="M89" s="498">
        <f>SUM(E89:L89)</f>
        <v>2.006</v>
      </c>
    </row>
    <row r="90" spans="2:13" ht="12.75">
      <c r="B90" s="470" t="s">
        <v>78</v>
      </c>
      <c r="C90" s="32" t="s">
        <v>67</v>
      </c>
      <c r="E90" s="498">
        <f aca="true" t="shared" si="13" ref="E90:L90">E88*WACC2011+E89</f>
        <v>0</v>
      </c>
      <c r="F90" s="498">
        <f t="shared" si="13"/>
        <v>1.0641829999999999</v>
      </c>
      <c r="G90" s="498">
        <f t="shared" si="13"/>
        <v>0</v>
      </c>
      <c r="H90" s="498">
        <f t="shared" si="13"/>
        <v>0</v>
      </c>
      <c r="I90" s="498">
        <f t="shared" si="13"/>
        <v>1.0641829999999999</v>
      </c>
      <c r="J90" s="498">
        <f t="shared" si="13"/>
        <v>0</v>
      </c>
      <c r="K90" s="498">
        <f t="shared" si="13"/>
        <v>0</v>
      </c>
      <c r="L90" s="498">
        <f t="shared" si="13"/>
        <v>0</v>
      </c>
      <c r="M90" s="498">
        <f>SUM(E90:L90)</f>
        <v>2.1283659999999998</v>
      </c>
    </row>
    <row r="91" spans="2:13" ht="12.75">
      <c r="B91" s="475" t="s">
        <v>77</v>
      </c>
      <c r="C91" s="32" t="s">
        <v>67</v>
      </c>
      <c r="E91" s="498">
        <f>E87+E90</f>
        <v>0</v>
      </c>
      <c r="F91" s="498">
        <f aca="true" t="shared" si="14" ref="F91:L91">F87+F90</f>
        <v>2.067183</v>
      </c>
      <c r="G91" s="498">
        <f t="shared" si="14"/>
        <v>0</v>
      </c>
      <c r="H91" s="498">
        <f t="shared" si="14"/>
        <v>0</v>
      </c>
      <c r="I91" s="498">
        <f t="shared" si="14"/>
        <v>2.067183</v>
      </c>
      <c r="J91" s="498">
        <f t="shared" si="14"/>
        <v>0</v>
      </c>
      <c r="K91" s="498">
        <f t="shared" si="14"/>
        <v>0</v>
      </c>
      <c r="L91" s="498">
        <f t="shared" si="14"/>
        <v>0</v>
      </c>
      <c r="M91" s="498">
        <f>SUM(E91:L91)</f>
        <v>4.134366</v>
      </c>
    </row>
    <row r="92" spans="5:13" ht="12.75">
      <c r="E92" s="497"/>
      <c r="F92" s="497"/>
      <c r="G92" s="497"/>
      <c r="H92" s="497"/>
      <c r="I92" s="497"/>
      <c r="J92" s="497"/>
      <c r="K92" s="497"/>
      <c r="L92" s="497"/>
      <c r="M92" s="497"/>
    </row>
    <row r="93" spans="4:13" ht="12.75">
      <c r="D93" s="476"/>
      <c r="E93" s="497"/>
      <c r="F93" s="497"/>
      <c r="G93" s="497"/>
      <c r="H93" s="497"/>
      <c r="I93" s="497"/>
      <c r="J93" s="497"/>
      <c r="K93" s="497"/>
      <c r="L93" s="497"/>
      <c r="M93" s="497"/>
    </row>
    <row r="94" spans="2:13" s="42" customFormat="1" ht="12.75">
      <c r="B94" s="83" t="s">
        <v>105</v>
      </c>
      <c r="C94" s="83"/>
      <c r="D94" s="501"/>
      <c r="E94" s="491"/>
      <c r="F94" s="491"/>
      <c r="G94" s="491"/>
      <c r="H94" s="491"/>
      <c r="I94" s="491"/>
      <c r="J94" s="491"/>
      <c r="K94" s="491"/>
      <c r="L94" s="491"/>
      <c r="M94" s="491"/>
    </row>
    <row r="95" spans="4:13" ht="12.75">
      <c r="D95" s="476"/>
      <c r="E95" s="497"/>
      <c r="F95" s="497"/>
      <c r="G95" s="497"/>
      <c r="H95" s="497"/>
      <c r="I95" s="497"/>
      <c r="J95" s="497"/>
      <c r="K95" s="497"/>
      <c r="L95" s="497"/>
      <c r="M95" s="497"/>
    </row>
    <row r="96" spans="4:13" ht="12.75">
      <c r="D96" s="476"/>
      <c r="E96" s="497"/>
      <c r="F96" s="497"/>
      <c r="G96" s="497"/>
      <c r="H96" s="497"/>
      <c r="I96" s="497"/>
      <c r="J96" s="497"/>
      <c r="K96" s="497"/>
      <c r="L96" s="497"/>
      <c r="M96" s="497"/>
    </row>
    <row r="97" spans="2:13" ht="12.75">
      <c r="B97" s="470" t="s">
        <v>86</v>
      </c>
      <c r="C97" s="32" t="s">
        <v>52</v>
      </c>
      <c r="D97" s="476"/>
      <c r="E97" s="499">
        <f aca="true" t="shared" si="15" ref="E97:M97">E20+E63</f>
        <v>1410.4033769923535</v>
      </c>
      <c r="F97" s="499">
        <f t="shared" si="15"/>
        <v>832.194</v>
      </c>
      <c r="G97" s="499">
        <f t="shared" si="15"/>
        <v>0</v>
      </c>
      <c r="H97" s="499">
        <f t="shared" si="15"/>
        <v>1772.8</v>
      </c>
      <c r="I97" s="499">
        <f t="shared" si="15"/>
        <v>13238.0480961305</v>
      </c>
      <c r="J97" s="499">
        <f t="shared" si="15"/>
        <v>1032.8345725833192</v>
      </c>
      <c r="K97" s="499">
        <f t="shared" si="15"/>
        <v>14260.108</v>
      </c>
      <c r="L97" s="499">
        <f t="shared" si="15"/>
        <v>0</v>
      </c>
      <c r="M97" s="499">
        <f t="shared" si="15"/>
        <v>32546.38804570617</v>
      </c>
    </row>
    <row r="98" spans="2:13" ht="12.75">
      <c r="B98" s="470" t="s">
        <v>85</v>
      </c>
      <c r="C98" s="32" t="s">
        <v>57</v>
      </c>
      <c r="D98" s="476"/>
      <c r="E98" s="499">
        <f aca="true" t="shared" si="16" ref="E98:M98">E28+E70</f>
        <v>1386.3381482366262</v>
      </c>
      <c r="F98" s="499">
        <f t="shared" si="16"/>
        <v>733.4269999999999</v>
      </c>
      <c r="G98" s="499">
        <f t="shared" si="16"/>
        <v>0</v>
      </c>
      <c r="H98" s="499">
        <f t="shared" si="16"/>
        <v>1673</v>
      </c>
      <c r="I98" s="499">
        <f t="shared" si="16"/>
        <v>15024.31029617026</v>
      </c>
      <c r="J98" s="499">
        <f t="shared" si="16"/>
        <v>1084.3110814566269</v>
      </c>
      <c r="K98" s="499">
        <f t="shared" si="16"/>
        <v>14323.928</v>
      </c>
      <c r="L98" s="499">
        <f t="shared" si="16"/>
        <v>25</v>
      </c>
      <c r="M98" s="499">
        <f t="shared" si="16"/>
        <v>34250.31452586352</v>
      </c>
    </row>
    <row r="99" spans="2:13" ht="12.75">
      <c r="B99" s="470" t="s">
        <v>84</v>
      </c>
      <c r="C99" s="32" t="s">
        <v>65</v>
      </c>
      <c r="D99" s="476"/>
      <c r="E99" s="499">
        <f aca="true" t="shared" si="17" ref="E99:M99">E36+E77</f>
        <v>1358.3202261972388</v>
      </c>
      <c r="F99" s="499">
        <f t="shared" si="17"/>
        <v>771.303</v>
      </c>
      <c r="G99" s="499">
        <f t="shared" si="17"/>
        <v>0</v>
      </c>
      <c r="H99" s="499">
        <f t="shared" si="17"/>
        <v>1677</v>
      </c>
      <c r="I99" s="499">
        <f t="shared" si="17"/>
        <v>14995.219869244173</v>
      </c>
      <c r="J99" s="499">
        <f t="shared" si="17"/>
        <v>984.3827720609403</v>
      </c>
      <c r="K99" s="499">
        <f t="shared" si="17"/>
        <v>14761.361</v>
      </c>
      <c r="L99" s="499">
        <f t="shared" si="17"/>
        <v>13</v>
      </c>
      <c r="M99" s="499">
        <f t="shared" si="17"/>
        <v>34560.58686750235</v>
      </c>
    </row>
    <row r="100" spans="2:13" ht="12.75">
      <c r="B100" s="470" t="s">
        <v>83</v>
      </c>
      <c r="C100" s="32" t="s">
        <v>66</v>
      </c>
      <c r="D100" s="476"/>
      <c r="E100" s="499">
        <f aca="true" t="shared" si="18" ref="E100:M100">E44+E77</f>
        <v>1359.1342672321202</v>
      </c>
      <c r="F100" s="499">
        <f t="shared" si="18"/>
        <v>290.577</v>
      </c>
      <c r="G100" s="499">
        <f t="shared" si="18"/>
        <v>2</v>
      </c>
      <c r="H100" s="499">
        <f t="shared" si="18"/>
        <v>2</v>
      </c>
      <c r="I100" s="499">
        <f t="shared" si="18"/>
        <v>985.2198692441718</v>
      </c>
      <c r="J100" s="499">
        <f t="shared" si="18"/>
        <v>979.2442073445424</v>
      </c>
      <c r="K100" s="499">
        <f t="shared" si="18"/>
        <v>2</v>
      </c>
      <c r="L100" s="499">
        <f t="shared" si="18"/>
        <v>2</v>
      </c>
      <c r="M100" s="499">
        <f t="shared" si="18"/>
        <v>3622.1753438208343</v>
      </c>
    </row>
    <row r="101" spans="2:13" ht="12.75">
      <c r="B101" s="470" t="s">
        <v>82</v>
      </c>
      <c r="C101" s="32" t="s">
        <v>67</v>
      </c>
      <c r="D101" s="476"/>
      <c r="E101" s="499">
        <f aca="true" t="shared" si="19" ref="E101:M101">E52+E91</f>
        <v>1363.2116700338165</v>
      </c>
      <c r="F101" s="499">
        <f t="shared" si="19"/>
        <v>4.073183</v>
      </c>
      <c r="G101" s="499">
        <f t="shared" si="19"/>
        <v>2.006</v>
      </c>
      <c r="H101" s="499">
        <f t="shared" si="19"/>
        <v>2.006</v>
      </c>
      <c r="I101" s="499">
        <f t="shared" si="19"/>
        <v>4.073183</v>
      </c>
      <c r="J101" s="499">
        <f t="shared" si="19"/>
        <v>982.1819399665759</v>
      </c>
      <c r="K101" s="499">
        <f t="shared" si="19"/>
        <v>2.006</v>
      </c>
      <c r="L101" s="499">
        <f t="shared" si="19"/>
        <v>2.006</v>
      </c>
      <c r="M101" s="499">
        <f t="shared" si="19"/>
        <v>2361.5639760003924</v>
      </c>
    </row>
    <row r="102" spans="4:13" ht="12.75">
      <c r="D102" s="476"/>
      <c r="E102" s="497"/>
      <c r="F102" s="497"/>
      <c r="G102" s="497"/>
      <c r="H102" s="497"/>
      <c r="I102" s="497"/>
      <c r="J102" s="497"/>
      <c r="K102" s="497"/>
      <c r="L102" s="497"/>
      <c r="M102" s="497"/>
    </row>
    <row r="105" spans="2:13" s="42" customFormat="1" ht="12.75">
      <c r="B105" s="83" t="s">
        <v>110</v>
      </c>
      <c r="C105" s="83"/>
      <c r="D105" s="83"/>
      <c r="E105" s="117"/>
      <c r="F105" s="117"/>
      <c r="G105" s="117"/>
      <c r="H105" s="117"/>
      <c r="I105" s="117"/>
      <c r="J105" s="117"/>
      <c r="K105" s="117"/>
      <c r="L105" s="117"/>
      <c r="M105" s="117"/>
    </row>
    <row r="107" ht="12.75">
      <c r="B107" s="475" t="s">
        <v>106</v>
      </c>
    </row>
    <row r="108" spans="2:13" ht="12.75">
      <c r="B108" s="470" t="s">
        <v>108</v>
      </c>
      <c r="D108" s="478">
        <v>1</v>
      </c>
      <c r="E108" s="476"/>
      <c r="F108" s="476"/>
      <c r="G108" s="476"/>
      <c r="H108" s="476"/>
      <c r="I108" s="476"/>
      <c r="J108" s="476"/>
      <c r="K108" s="476"/>
      <c r="L108" s="476"/>
      <c r="M108" s="476"/>
    </row>
    <row r="109" spans="2:13" ht="12.75">
      <c r="B109" s="470" t="s">
        <v>107</v>
      </c>
      <c r="D109" s="478">
        <v>1</v>
      </c>
      <c r="E109" s="476"/>
      <c r="F109" s="476"/>
      <c r="G109" s="476"/>
      <c r="H109" s="476"/>
      <c r="I109" s="476"/>
      <c r="J109" s="476"/>
      <c r="K109" s="476"/>
      <c r="L109" s="476"/>
      <c r="M109" s="476"/>
    </row>
    <row r="110" spans="4:13" ht="12.75">
      <c r="D110" s="477"/>
      <c r="E110" s="476"/>
      <c r="F110" s="476"/>
      <c r="G110" s="476"/>
      <c r="H110" s="476"/>
      <c r="I110" s="476"/>
      <c r="J110" s="476"/>
      <c r="K110" s="476"/>
      <c r="L110" s="476"/>
      <c r="M110" s="476"/>
    </row>
    <row r="111" spans="2:13" ht="12.75">
      <c r="B111" s="470" t="s">
        <v>112</v>
      </c>
      <c r="C111" s="25" t="s">
        <v>114</v>
      </c>
      <c r="D111" s="568">
        <f>SUM(Kosten!E124:L124)</f>
        <v>8.488</v>
      </c>
      <c r="E111" s="476"/>
      <c r="F111" s="476"/>
      <c r="G111" s="476"/>
      <c r="H111" s="476"/>
      <c r="I111" s="476"/>
      <c r="J111" s="476"/>
      <c r="K111" s="476"/>
      <c r="L111" s="476"/>
      <c r="M111" s="476"/>
    </row>
    <row r="112" spans="2:13" ht="12.75">
      <c r="B112" s="470" t="s">
        <v>110</v>
      </c>
      <c r="C112" s="25" t="s">
        <v>87</v>
      </c>
      <c r="D112" s="476"/>
      <c r="E112" s="478">
        <v>1</v>
      </c>
      <c r="F112" s="478">
        <v>1</v>
      </c>
      <c r="G112" s="478">
        <v>1</v>
      </c>
      <c r="H112" s="478">
        <v>1</v>
      </c>
      <c r="I112" s="478">
        <v>1</v>
      </c>
      <c r="J112" s="478">
        <v>1</v>
      </c>
      <c r="K112" s="478">
        <v>1</v>
      </c>
      <c r="L112" s="478">
        <v>1</v>
      </c>
      <c r="M112" s="476"/>
    </row>
    <row r="113" spans="2:13" ht="12.75">
      <c r="B113" s="470" t="s">
        <v>111</v>
      </c>
      <c r="D113" s="476"/>
      <c r="E113" s="512">
        <f aca="true" t="shared" si="20" ref="E113:L113">beta0+beta1*E112</f>
        <v>2</v>
      </c>
      <c r="F113" s="512">
        <f t="shared" si="20"/>
        <v>2</v>
      </c>
      <c r="G113" s="512">
        <f t="shared" si="20"/>
        <v>2</v>
      </c>
      <c r="H113" s="512">
        <f t="shared" si="20"/>
        <v>2</v>
      </c>
      <c r="I113" s="512">
        <f t="shared" si="20"/>
        <v>2</v>
      </c>
      <c r="J113" s="512">
        <f t="shared" si="20"/>
        <v>2</v>
      </c>
      <c r="K113" s="512">
        <f t="shared" si="20"/>
        <v>2</v>
      </c>
      <c r="L113" s="512">
        <f t="shared" si="20"/>
        <v>2</v>
      </c>
      <c r="M113" s="577"/>
    </row>
    <row r="114" spans="2:13" ht="12.75">
      <c r="B114" s="470" t="s">
        <v>590</v>
      </c>
      <c r="D114" s="512">
        <f>(1000*D111)/SUMPRODUCT(E113:L113,SO!E38:L38)</f>
        <v>0.0011082698237403806</v>
      </c>
      <c r="E114" s="477"/>
      <c r="F114" s="477"/>
      <c r="G114" s="477"/>
      <c r="H114" s="477"/>
      <c r="I114" s="477"/>
      <c r="J114" s="477"/>
      <c r="K114" s="477"/>
      <c r="L114" s="477"/>
      <c r="M114" s="477"/>
    </row>
    <row r="115" spans="4:13" ht="12.75">
      <c r="D115" s="476"/>
      <c r="E115" s="477"/>
      <c r="F115" s="477"/>
      <c r="G115" s="477"/>
      <c r="H115" s="477"/>
      <c r="I115" s="477"/>
      <c r="J115" s="477"/>
      <c r="K115" s="477"/>
      <c r="L115" s="477"/>
      <c r="M115" s="477"/>
    </row>
    <row r="116" spans="2:13" ht="12.75">
      <c r="B116" s="470" t="s">
        <v>113</v>
      </c>
      <c r="D116" s="476"/>
      <c r="E116" s="519">
        <f>E113*$D$114</f>
        <v>0.0022165396474807613</v>
      </c>
      <c r="F116" s="519">
        <f aca="true" t="shared" si="21" ref="F116:L116">F113*$D$114</f>
        <v>0.0022165396474807613</v>
      </c>
      <c r="G116" s="519">
        <f t="shared" si="21"/>
        <v>0.0022165396474807613</v>
      </c>
      <c r="H116" s="519">
        <f t="shared" si="21"/>
        <v>0.0022165396474807613</v>
      </c>
      <c r="I116" s="519">
        <f t="shared" si="21"/>
        <v>0.0022165396474807613</v>
      </c>
      <c r="J116" s="519">
        <f t="shared" si="21"/>
        <v>0.0022165396474807613</v>
      </c>
      <c r="K116" s="519">
        <f t="shared" si="21"/>
        <v>0.0022165396474807613</v>
      </c>
      <c r="L116" s="519">
        <f t="shared" si="21"/>
        <v>0.0022165396474807613</v>
      </c>
      <c r="M116" s="477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/>
  <dimension ref="A2:T22"/>
  <sheetViews>
    <sheetView showGridLines="0" zoomScale="85" zoomScaleNormal="85" workbookViewId="0" topLeftCell="A1">
      <selection activeCell="H6" sqref="H6"/>
    </sheetView>
  </sheetViews>
  <sheetFormatPr defaultColWidth="9.140625" defaultRowHeight="12.75"/>
  <cols>
    <col min="1" max="1" width="2.7109375" style="23" customWidth="1"/>
    <col min="2" max="2" width="10.00390625" style="23" customWidth="1"/>
    <col min="3" max="3" width="31.8515625" style="31" customWidth="1"/>
    <col min="4" max="4" width="7.7109375" style="31" bestFit="1" customWidth="1"/>
    <col min="5" max="5" width="6.7109375" style="31" bestFit="1" customWidth="1"/>
    <col min="6" max="6" width="8.8515625" style="31" bestFit="1" customWidth="1"/>
    <col min="7" max="7" width="7.7109375" style="31" bestFit="1" customWidth="1"/>
    <col min="8" max="8" width="9.00390625" style="31" bestFit="1" customWidth="1"/>
    <col min="9" max="9" width="7.421875" style="31" bestFit="1" customWidth="1"/>
    <col min="10" max="10" width="7.7109375" style="31" bestFit="1" customWidth="1"/>
    <col min="11" max="11" width="10.7109375" style="31" customWidth="1"/>
    <col min="12" max="16384" width="9.140625" style="31" customWidth="1"/>
  </cols>
  <sheetData>
    <row r="2" spans="1:8" s="2" customFormat="1" ht="136.5" customHeight="1">
      <c r="A2" s="35"/>
      <c r="B2" s="3" t="s">
        <v>100</v>
      </c>
      <c r="C2" s="4"/>
      <c r="D2" s="4"/>
      <c r="E2" s="4"/>
      <c r="F2" s="4"/>
      <c r="G2" s="4"/>
      <c r="H2" s="24"/>
    </row>
    <row r="3" s="33" customFormat="1" ht="12.75"/>
    <row r="4" spans="1:2" s="5" customFormat="1" ht="12.75">
      <c r="A4" s="36"/>
      <c r="B4" s="546" t="s">
        <v>276</v>
      </c>
    </row>
    <row r="5" s="33" customFormat="1" ht="12.75"/>
    <row r="6" spans="2:12" s="33" customFormat="1" ht="12.75">
      <c r="B6" s="553" t="s">
        <v>273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</row>
    <row r="7" spans="2:12" s="33" customFormat="1" ht="12.75">
      <c r="B7" s="553"/>
      <c r="C7" s="474"/>
      <c r="D7" s="474"/>
      <c r="E7" s="474"/>
      <c r="F7" s="474"/>
      <c r="G7" s="474"/>
      <c r="H7" s="474"/>
      <c r="I7" s="474"/>
      <c r="J7" s="474"/>
      <c r="K7" s="474"/>
      <c r="L7" s="474"/>
    </row>
    <row r="8" spans="2:12" s="33" customFormat="1" ht="12.75">
      <c r="B8" s="94" t="s">
        <v>588</v>
      </c>
      <c r="C8" s="474"/>
      <c r="D8" s="474"/>
      <c r="E8" s="474"/>
      <c r="F8" s="474"/>
      <c r="G8" s="474"/>
      <c r="H8" s="474"/>
      <c r="I8" s="474"/>
      <c r="J8" s="474"/>
      <c r="K8" s="474"/>
      <c r="L8" s="474"/>
    </row>
    <row r="9" spans="2:12" s="33" customFormat="1" ht="12.75">
      <c r="B9" s="94" t="s">
        <v>589</v>
      </c>
      <c r="C9" s="573"/>
      <c r="D9" s="474"/>
      <c r="E9" s="474"/>
      <c r="F9" s="474"/>
      <c r="G9" s="474"/>
      <c r="H9" s="474"/>
      <c r="I9" s="474"/>
      <c r="J9" s="474"/>
      <c r="K9" s="474"/>
      <c r="L9" s="474"/>
    </row>
    <row r="10" spans="2:12" s="33" customFormat="1" ht="12.75">
      <c r="B10" s="94"/>
      <c r="C10" s="573"/>
      <c r="D10" s="474"/>
      <c r="E10" s="474"/>
      <c r="F10" s="474"/>
      <c r="G10" s="474"/>
      <c r="H10" s="474"/>
      <c r="I10" s="474"/>
      <c r="J10" s="474"/>
      <c r="K10" s="474"/>
      <c r="L10" s="474"/>
    </row>
    <row r="11" spans="1:13" ht="12.75">
      <c r="A11" s="90"/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33"/>
    </row>
    <row r="12" spans="1:20" ht="12.75">
      <c r="A12" s="90"/>
      <c r="B12" s="541" t="s">
        <v>586</v>
      </c>
      <c r="C12" s="541" t="s">
        <v>587</v>
      </c>
      <c r="D12" s="574" t="s">
        <v>146</v>
      </c>
      <c r="E12" s="574" t="s">
        <v>29</v>
      </c>
      <c r="F12" s="574" t="s">
        <v>455</v>
      </c>
      <c r="G12" s="574" t="s">
        <v>148</v>
      </c>
      <c r="H12" s="574" t="s">
        <v>150</v>
      </c>
      <c r="I12" s="574" t="s">
        <v>151</v>
      </c>
      <c r="J12" s="574" t="s">
        <v>147</v>
      </c>
      <c r="K12" s="574" t="s">
        <v>30</v>
      </c>
      <c r="L12" s="474"/>
      <c r="M12" s="278"/>
      <c r="N12" s="86"/>
      <c r="O12" s="86"/>
      <c r="P12" s="86"/>
      <c r="Q12" s="278"/>
      <c r="R12" s="86"/>
      <c r="S12" s="86"/>
      <c r="T12" s="86"/>
    </row>
    <row r="13" spans="1:20" ht="12.75">
      <c r="A13" s="90"/>
      <c r="B13" s="541"/>
      <c r="C13" s="541"/>
      <c r="D13" s="574"/>
      <c r="E13" s="574"/>
      <c r="F13" s="574"/>
      <c r="G13" s="574"/>
      <c r="H13" s="574"/>
      <c r="I13" s="574"/>
      <c r="J13" s="574"/>
      <c r="K13" s="574"/>
      <c r="L13" s="474"/>
      <c r="M13" s="278"/>
      <c r="N13" s="86"/>
      <c r="O13" s="86"/>
      <c r="P13" s="86"/>
      <c r="Q13" s="278"/>
      <c r="R13" s="86"/>
      <c r="S13" s="86"/>
      <c r="T13" s="86"/>
    </row>
    <row r="14" spans="1:12" ht="12.75">
      <c r="A14" s="90"/>
      <c r="B14" s="575">
        <v>0.05</v>
      </c>
      <c r="C14" s="480" t="s">
        <v>267</v>
      </c>
      <c r="D14" s="474"/>
      <c r="E14" s="474"/>
      <c r="F14" s="474"/>
      <c r="G14" s="474"/>
      <c r="H14" s="474"/>
      <c r="I14" s="474"/>
      <c r="J14" s="474"/>
      <c r="K14" s="474"/>
      <c r="L14" s="474"/>
    </row>
    <row r="15" spans="1:12" ht="12.75">
      <c r="A15" s="90"/>
      <c r="B15" s="575">
        <v>4</v>
      </c>
      <c r="C15" s="480" t="s">
        <v>102</v>
      </c>
      <c r="D15" s="474"/>
      <c r="E15" s="474"/>
      <c r="F15" s="474"/>
      <c r="G15" s="474"/>
      <c r="H15" s="474"/>
      <c r="I15" s="474"/>
      <c r="J15" s="474"/>
      <c r="K15" s="474"/>
      <c r="L15" s="474"/>
    </row>
    <row r="16" spans="1:12" ht="12.75">
      <c r="A16" s="90"/>
      <c r="B16" s="575">
        <v>20</v>
      </c>
      <c r="C16" s="480" t="s">
        <v>269</v>
      </c>
      <c r="D16" s="554">
        <v>0.5337579617834395</v>
      </c>
      <c r="E16" s="554">
        <v>0.4940157424377891</v>
      </c>
      <c r="F16" s="554">
        <v>0.3881206630256884</v>
      </c>
      <c r="G16" s="554">
        <v>0.5052288481228364</v>
      </c>
      <c r="H16" s="554">
        <v>0.47404816068237055</v>
      </c>
      <c r="I16" s="554">
        <v>0.4630705394190871</v>
      </c>
      <c r="J16" s="554">
        <v>0.5301861528990248</v>
      </c>
      <c r="K16" s="554">
        <v>0.40305401178195494</v>
      </c>
      <c r="L16" s="474"/>
    </row>
    <row r="17" spans="1:12" ht="12.75">
      <c r="A17" s="90"/>
      <c r="B17" s="575">
        <v>30</v>
      </c>
      <c r="C17" s="480" t="s">
        <v>270</v>
      </c>
      <c r="D17" s="554">
        <v>0.17070063694267515</v>
      </c>
      <c r="E17" s="554">
        <v>0.22170500314412087</v>
      </c>
      <c r="F17" s="554">
        <v>0.20270229344955215</v>
      </c>
      <c r="G17" s="554">
        <v>0.1978598903350068</v>
      </c>
      <c r="H17" s="554">
        <v>0.19375017798167657</v>
      </c>
      <c r="I17" s="554">
        <v>0.23494698017519594</v>
      </c>
      <c r="J17" s="554">
        <v>0.16986673053399406</v>
      </c>
      <c r="K17" s="554">
        <v>0.23700093569866074</v>
      </c>
      <c r="L17" s="474"/>
    </row>
    <row r="18" spans="1:12" ht="12.75">
      <c r="A18" s="90"/>
      <c r="B18" s="575">
        <v>40</v>
      </c>
      <c r="C18" s="480" t="s">
        <v>271</v>
      </c>
      <c r="D18" s="554">
        <v>0.15286624203821655</v>
      </c>
      <c r="E18" s="554">
        <v>0.1565205178191652</v>
      </c>
      <c r="F18" s="554">
        <v>0.37390723565700373</v>
      </c>
      <c r="G18" s="554">
        <v>0.18040139866278246</v>
      </c>
      <c r="H18" s="554">
        <v>0.1917724733695495</v>
      </c>
      <c r="I18" s="554">
        <v>0.18321807284462885</v>
      </c>
      <c r="J18" s="554">
        <v>0.19984151044086138</v>
      </c>
      <c r="K18" s="554">
        <v>0.1994680038287087</v>
      </c>
      <c r="L18" s="474"/>
    </row>
    <row r="19" spans="1:12" ht="12.75">
      <c r="A19" s="31"/>
      <c r="B19" s="575">
        <v>50</v>
      </c>
      <c r="C19" s="480" t="s">
        <v>272</v>
      </c>
      <c r="D19" s="554">
        <v>0.14267515923566879</v>
      </c>
      <c r="E19" s="554">
        <v>0.12774787420170886</v>
      </c>
      <c r="F19" s="554">
        <v>0.03526980786775514</v>
      </c>
      <c r="G19" s="554">
        <v>0.11651055582292726</v>
      </c>
      <c r="H19" s="554">
        <v>0.1404291879664033</v>
      </c>
      <c r="I19" s="554">
        <v>0.11876440756108807</v>
      </c>
      <c r="J19" s="554">
        <v>0.10010882092447956</v>
      </c>
      <c r="K19" s="554">
        <v>0.16047704869067578</v>
      </c>
      <c r="L19" s="474"/>
    </row>
    <row r="20" spans="1:12" ht="12.75">
      <c r="A20" s="90"/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</row>
    <row r="21" spans="1:12" ht="12.75">
      <c r="A21" s="90"/>
      <c r="B21" s="474"/>
      <c r="C21" s="541" t="s">
        <v>101</v>
      </c>
      <c r="D21" s="569">
        <f>SUM(D16:D19)</f>
        <v>0.9999999999999999</v>
      </c>
      <c r="E21" s="569">
        <f aca="true" t="shared" si="0" ref="E21:K21">SUM(E16:E19)</f>
        <v>0.9999891376027841</v>
      </c>
      <c r="F21" s="569">
        <f t="shared" si="0"/>
        <v>0.9999999999999993</v>
      </c>
      <c r="G21" s="569">
        <f t="shared" si="0"/>
        <v>1.000000692943553</v>
      </c>
      <c r="H21" s="569">
        <f t="shared" si="0"/>
        <v>1</v>
      </c>
      <c r="I21" s="569">
        <f t="shared" si="0"/>
        <v>1</v>
      </c>
      <c r="J21" s="569">
        <f t="shared" si="0"/>
        <v>1.0000032147983597</v>
      </c>
      <c r="K21" s="569">
        <f t="shared" si="0"/>
        <v>1</v>
      </c>
      <c r="L21" s="474"/>
    </row>
    <row r="22" spans="2:12" ht="12.75">
      <c r="B22" s="470"/>
      <c r="C22" s="474"/>
      <c r="D22" s="474"/>
      <c r="E22" s="474"/>
      <c r="F22" s="474"/>
      <c r="G22" s="474"/>
      <c r="H22" s="474"/>
      <c r="I22" s="474"/>
      <c r="J22" s="474"/>
      <c r="K22" s="474"/>
      <c r="L22" s="47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9"/>
  <dimension ref="A1:AX156"/>
  <sheetViews>
    <sheetView showGridLines="0" zoomScale="85" zoomScaleNormal="85" workbookViewId="0" topLeftCell="A1">
      <selection activeCell="AX124" sqref="AX124:AX140"/>
    </sheetView>
  </sheetViews>
  <sheetFormatPr defaultColWidth="9.140625" defaultRowHeight="12.75"/>
  <cols>
    <col min="1" max="1" width="14.421875" style="0" customWidth="1"/>
    <col min="2" max="2" width="19.00390625" style="0" customWidth="1"/>
    <col min="4" max="4" width="9.7109375" style="0" customWidth="1"/>
    <col min="5" max="5" width="9.8515625" style="0" customWidth="1"/>
    <col min="6" max="6" width="10.57421875" style="0" customWidth="1"/>
    <col min="7" max="7" width="9.8515625" style="0" customWidth="1"/>
    <col min="8" max="8" width="9.8515625" style="0" bestFit="1" customWidth="1"/>
    <col min="9" max="9" width="12.140625" style="0" customWidth="1"/>
    <col min="10" max="10" width="9.7109375" style="0" bestFit="1" customWidth="1"/>
    <col min="11" max="11" width="10.8515625" style="0" customWidth="1"/>
    <col min="12" max="12" width="9.28125" style="0" bestFit="1" customWidth="1"/>
    <col min="13" max="13" width="8.7109375" style="0" customWidth="1"/>
    <col min="14" max="14" width="10.7109375" style="0" customWidth="1"/>
    <col min="21" max="21" width="9.421875" style="0" customWidth="1"/>
    <col min="24" max="24" width="10.8515625" style="0" customWidth="1"/>
    <col min="25" max="25" width="9.28125" style="0" customWidth="1"/>
    <col min="29" max="30" width="9.28125" style="0" customWidth="1"/>
    <col min="34" max="34" width="10.28125" style="0" customWidth="1"/>
    <col min="35" max="35" width="9.28125" style="0" bestFit="1" customWidth="1"/>
    <col min="37" max="37" width="9.421875" style="0" bestFit="1" customWidth="1"/>
    <col min="39" max="39" width="9.28125" style="0" bestFit="1" customWidth="1"/>
    <col min="41" max="41" width="23.57421875" style="0" customWidth="1"/>
    <col min="46" max="46" width="12.28125" style="0" customWidth="1"/>
    <col min="49" max="49" width="11.00390625" style="0" customWidth="1"/>
  </cols>
  <sheetData>
    <row r="1" s="280" customFormat="1" ht="157.5" customHeight="1">
      <c r="A1" s="279" t="s">
        <v>474</v>
      </c>
    </row>
    <row r="2" ht="12.75">
      <c r="A2" s="198" t="s">
        <v>104</v>
      </c>
    </row>
    <row r="3" ht="12.75">
      <c r="A3" s="198" t="s">
        <v>103</v>
      </c>
    </row>
    <row r="4" ht="12.75">
      <c r="A4" s="198"/>
    </row>
    <row r="6" spans="1:12" s="199" customFormat="1" ht="12.75">
      <c r="A6" s="199" t="s">
        <v>464</v>
      </c>
      <c r="B6" s="83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="94" customFormat="1" ht="12.75">
      <c r="A7" s="198"/>
    </row>
    <row r="8" spans="2:5" s="94" customFormat="1" ht="12.75">
      <c r="B8" s="172" t="s">
        <v>394</v>
      </c>
      <c r="C8" s="204" t="s">
        <v>416</v>
      </c>
      <c r="D8" s="173"/>
      <c r="E8" s="174"/>
    </row>
    <row r="9" spans="2:5" s="94" customFormat="1" ht="12.75">
      <c r="B9" s="175" t="s">
        <v>397</v>
      </c>
      <c r="C9" s="176" t="s">
        <v>398</v>
      </c>
      <c r="D9" s="176"/>
      <c r="E9" s="177"/>
    </row>
    <row r="10" spans="2:5" s="94" customFormat="1" ht="12.75">
      <c r="B10" s="178" t="s">
        <v>400</v>
      </c>
      <c r="C10" s="179" t="s">
        <v>401</v>
      </c>
      <c r="D10" s="179"/>
      <c r="E10" s="180"/>
    </row>
    <row r="11" s="94" customFormat="1" ht="12.75"/>
    <row r="12" spans="1:12" s="199" customFormat="1" ht="12.75">
      <c r="A12" s="199" t="s">
        <v>96</v>
      </c>
      <c r="B12" s="83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2:6" ht="12.75">
      <c r="B13" s="120"/>
      <c r="C13" s="120"/>
      <c r="D13" s="120"/>
      <c r="E13" s="120"/>
      <c r="F13" s="120"/>
    </row>
    <row r="14" spans="2:47" s="94" customFormat="1" ht="15.75">
      <c r="B14" s="281" t="s">
        <v>146</v>
      </c>
      <c r="C14" s="86"/>
      <c r="D14" s="86"/>
      <c r="E14" s="86"/>
      <c r="F14" s="86"/>
      <c r="G14" s="122" t="s">
        <v>29</v>
      </c>
      <c r="L14" s="122" t="s">
        <v>147</v>
      </c>
      <c r="Q14" s="122" t="s">
        <v>288</v>
      </c>
      <c r="V14" s="122" t="s">
        <v>148</v>
      </c>
      <c r="AA14" s="122" t="s">
        <v>149</v>
      </c>
      <c r="AF14" s="281" t="s">
        <v>150</v>
      </c>
      <c r="AK14" s="122" t="s">
        <v>195</v>
      </c>
      <c r="AP14" s="122" t="s">
        <v>151</v>
      </c>
      <c r="AU14" s="123" t="s">
        <v>30</v>
      </c>
    </row>
    <row r="15" spans="2:50" s="94" customFormat="1" ht="12.75">
      <c r="B15" s="124" t="s">
        <v>476</v>
      </c>
      <c r="C15" s="125"/>
      <c r="D15" s="124" t="s">
        <v>402</v>
      </c>
      <c r="E15" s="312" t="s">
        <v>403</v>
      </c>
      <c r="G15" s="124" t="s">
        <v>476</v>
      </c>
      <c r="H15" s="125"/>
      <c r="I15" s="124" t="s">
        <v>402</v>
      </c>
      <c r="J15" s="312" t="s">
        <v>403</v>
      </c>
      <c r="L15" s="225" t="s">
        <v>476</v>
      </c>
      <c r="M15" s="226"/>
      <c r="N15" s="294" t="s">
        <v>402</v>
      </c>
      <c r="O15" s="293" t="s">
        <v>403</v>
      </c>
      <c r="Q15" s="124"/>
      <c r="R15" s="125"/>
      <c r="S15" s="269"/>
      <c r="T15" s="270"/>
      <c r="V15" s="124" t="s">
        <v>476</v>
      </c>
      <c r="W15" s="125"/>
      <c r="X15" s="183" t="s">
        <v>402</v>
      </c>
      <c r="Y15" s="184" t="s">
        <v>403</v>
      </c>
      <c r="AA15" s="124" t="s">
        <v>476</v>
      </c>
      <c r="AB15" s="125"/>
      <c r="AC15" s="183" t="s">
        <v>402</v>
      </c>
      <c r="AD15" s="293" t="s">
        <v>403</v>
      </c>
      <c r="AF15" s="124" t="s">
        <v>476</v>
      </c>
      <c r="AG15" s="125"/>
      <c r="AH15" s="183" t="s">
        <v>402</v>
      </c>
      <c r="AI15" s="293" t="s">
        <v>403</v>
      </c>
      <c r="AK15" s="124"/>
      <c r="AL15" s="125"/>
      <c r="AM15" s="269"/>
      <c r="AN15" s="270"/>
      <c r="AP15" s="225" t="s">
        <v>476</v>
      </c>
      <c r="AQ15" s="226"/>
      <c r="AR15" s="294" t="s">
        <v>402</v>
      </c>
      <c r="AS15" s="293" t="s">
        <v>403</v>
      </c>
      <c r="AU15" s="124" t="s">
        <v>476</v>
      </c>
      <c r="AV15" s="125"/>
      <c r="AW15" s="183" t="s">
        <v>402</v>
      </c>
      <c r="AX15" s="293" t="s">
        <v>403</v>
      </c>
    </row>
    <row r="16" spans="2:50" s="94" customFormat="1" ht="12.75">
      <c r="B16" s="346" t="s">
        <v>478</v>
      </c>
      <c r="C16" s="231"/>
      <c r="D16" s="374">
        <v>350</v>
      </c>
      <c r="E16" s="374">
        <f aca="true" t="shared" si="0" ref="E16:E31">E88</f>
        <v>1</v>
      </c>
      <c r="F16" s="92"/>
      <c r="G16" s="170" t="s">
        <v>494</v>
      </c>
      <c r="H16" s="127"/>
      <c r="I16" s="379">
        <v>284.07</v>
      </c>
      <c r="J16" s="379">
        <f>J88</f>
        <v>1</v>
      </c>
      <c r="L16" s="346" t="s">
        <v>538</v>
      </c>
      <c r="M16" s="231"/>
      <c r="N16" s="379">
        <v>327.86</v>
      </c>
      <c r="O16" s="379">
        <f>O88</f>
        <v>1</v>
      </c>
      <c r="Q16" s="170"/>
      <c r="R16" s="242"/>
      <c r="S16" s="211"/>
      <c r="T16" s="212"/>
      <c r="U16" s="170"/>
      <c r="V16" s="225"/>
      <c r="W16" s="310"/>
      <c r="X16" s="296"/>
      <c r="Y16" s="293"/>
      <c r="AA16" s="170" t="s">
        <v>512</v>
      </c>
      <c r="AB16" s="127"/>
      <c r="AC16" s="379">
        <v>345.18</v>
      </c>
      <c r="AD16" s="379">
        <f>AD88</f>
        <v>1</v>
      </c>
      <c r="AF16" s="132" t="s">
        <v>295</v>
      </c>
      <c r="AG16" s="127"/>
      <c r="AH16" s="366">
        <v>546.7</v>
      </c>
      <c r="AI16" s="366">
        <f>AI88</f>
        <v>1</v>
      </c>
      <c r="AK16" s="170"/>
      <c r="AL16" s="242"/>
      <c r="AM16" s="211"/>
      <c r="AN16" s="212"/>
      <c r="AP16" s="346" t="s">
        <v>522</v>
      </c>
      <c r="AQ16" s="127"/>
      <c r="AR16" s="379">
        <v>363</v>
      </c>
      <c r="AS16" s="379">
        <f>AS88</f>
        <v>1</v>
      </c>
      <c r="AT16" s="227"/>
      <c r="AU16" s="170" t="s">
        <v>547</v>
      </c>
      <c r="AV16" s="127"/>
      <c r="AW16" s="315">
        <v>178772.27</v>
      </c>
      <c r="AX16" s="315">
        <f>AX88</f>
        <v>1</v>
      </c>
    </row>
    <row r="17" spans="2:50" s="94" customFormat="1" ht="12.75">
      <c r="B17" s="170" t="s">
        <v>479</v>
      </c>
      <c r="C17" s="227"/>
      <c r="D17" s="375">
        <v>585</v>
      </c>
      <c r="E17" s="375">
        <f t="shared" si="0"/>
        <v>1</v>
      </c>
      <c r="F17" s="92"/>
      <c r="G17" s="170" t="s">
        <v>495</v>
      </c>
      <c r="H17" s="137"/>
      <c r="I17" s="380">
        <v>539.31</v>
      </c>
      <c r="J17" s="380">
        <f aca="true" t="shared" si="1" ref="J17:J26">J89</f>
        <v>1</v>
      </c>
      <c r="L17" s="170" t="s">
        <v>539</v>
      </c>
      <c r="M17" s="227"/>
      <c r="N17" s="380">
        <v>479.57</v>
      </c>
      <c r="O17" s="380">
        <f aca="true" t="shared" si="2" ref="O17:O27">O89</f>
        <v>1</v>
      </c>
      <c r="Q17" s="170"/>
      <c r="R17" s="156"/>
      <c r="S17" s="213"/>
      <c r="T17" s="214"/>
      <c r="U17" s="170"/>
      <c r="V17" s="170" t="s">
        <v>501</v>
      </c>
      <c r="W17" s="227"/>
      <c r="X17" s="379">
        <v>296</v>
      </c>
      <c r="Y17" s="379">
        <f>Y89</f>
        <v>1</v>
      </c>
      <c r="AA17" s="170" t="s">
        <v>298</v>
      </c>
      <c r="AB17" s="137"/>
      <c r="AC17" s="380">
        <v>542.6</v>
      </c>
      <c r="AD17" s="380">
        <f aca="true" t="shared" si="3" ref="AD17:AD26">AD89</f>
        <v>1</v>
      </c>
      <c r="AF17" s="126" t="s">
        <v>300</v>
      </c>
      <c r="AG17" s="137"/>
      <c r="AH17" s="362">
        <v>845.73</v>
      </c>
      <c r="AI17" s="362">
        <f aca="true" t="shared" si="4" ref="AI17:AI26">AI89</f>
        <v>1</v>
      </c>
      <c r="AK17" s="170"/>
      <c r="AL17" s="156"/>
      <c r="AM17" s="213"/>
      <c r="AN17" s="214"/>
      <c r="AP17" s="170" t="s">
        <v>523</v>
      </c>
      <c r="AQ17" s="137"/>
      <c r="AR17" s="380">
        <v>615</v>
      </c>
      <c r="AS17" s="380">
        <f aca="true" t="shared" si="5" ref="AS17:AS31">AS89</f>
        <v>1</v>
      </c>
      <c r="AT17" s="227"/>
      <c r="AU17" s="170" t="s">
        <v>548</v>
      </c>
      <c r="AV17" s="137"/>
      <c r="AW17" s="286">
        <v>58739.46</v>
      </c>
      <c r="AX17" s="286">
        <f aca="true" t="shared" si="6" ref="AX17:AX32">AX89</f>
        <v>1</v>
      </c>
    </row>
    <row r="18" spans="2:50" s="94" customFormat="1" ht="12.75">
      <c r="B18" s="170" t="s">
        <v>393</v>
      </c>
      <c r="C18" s="227"/>
      <c r="D18" s="376">
        <v>990.8</v>
      </c>
      <c r="E18" s="376">
        <f t="shared" si="0"/>
        <v>1</v>
      </c>
      <c r="F18" s="92"/>
      <c r="G18" s="170" t="s">
        <v>393</v>
      </c>
      <c r="H18" s="137"/>
      <c r="I18" s="381">
        <v>760.63</v>
      </c>
      <c r="J18" s="381">
        <f t="shared" si="1"/>
        <v>1</v>
      </c>
      <c r="L18" s="170" t="s">
        <v>393</v>
      </c>
      <c r="M18" s="227"/>
      <c r="N18" s="381">
        <v>721.26</v>
      </c>
      <c r="O18" s="381">
        <f t="shared" si="2"/>
        <v>1</v>
      </c>
      <c r="Q18" s="170"/>
      <c r="R18" s="156"/>
      <c r="S18" s="213"/>
      <c r="T18" s="214"/>
      <c r="U18" s="170"/>
      <c r="V18" s="170" t="s">
        <v>502</v>
      </c>
      <c r="W18" s="227"/>
      <c r="X18" s="380">
        <v>568</v>
      </c>
      <c r="Y18" s="380">
        <f aca="true" t="shared" si="7" ref="Y18:Y29">Y90</f>
        <v>1</v>
      </c>
      <c r="AA18" s="170" t="s">
        <v>513</v>
      </c>
      <c r="AB18" s="137"/>
      <c r="AC18" s="381">
        <v>740.04</v>
      </c>
      <c r="AD18" s="381">
        <f t="shared" si="3"/>
        <v>1</v>
      </c>
      <c r="AF18" s="126" t="s">
        <v>308</v>
      </c>
      <c r="AG18" s="137"/>
      <c r="AH18" s="362">
        <v>1025.4</v>
      </c>
      <c r="AI18" s="362">
        <f t="shared" si="4"/>
        <v>1</v>
      </c>
      <c r="AK18" s="170"/>
      <c r="AL18" s="156"/>
      <c r="AM18" s="213"/>
      <c r="AN18" s="214"/>
      <c r="AP18" s="170" t="s">
        <v>524</v>
      </c>
      <c r="AQ18" s="137"/>
      <c r="AR18" s="381">
        <v>828</v>
      </c>
      <c r="AS18" s="381">
        <f t="shared" si="5"/>
        <v>1</v>
      </c>
      <c r="AT18" s="227"/>
      <c r="AU18" s="170" t="s">
        <v>549</v>
      </c>
      <c r="AV18" s="137"/>
      <c r="AW18" s="286">
        <v>20635.09</v>
      </c>
      <c r="AX18" s="286">
        <f t="shared" si="6"/>
        <v>1</v>
      </c>
    </row>
    <row r="19" spans="2:50" s="94" customFormat="1" ht="12.75">
      <c r="B19" s="170" t="s">
        <v>392</v>
      </c>
      <c r="C19" s="227"/>
      <c r="D19" s="376">
        <v>990.8</v>
      </c>
      <c r="E19" s="376">
        <f t="shared" si="0"/>
        <v>1</v>
      </c>
      <c r="F19" s="92"/>
      <c r="G19" s="170" t="s">
        <v>392</v>
      </c>
      <c r="H19" s="137"/>
      <c r="I19" s="381">
        <v>837.81</v>
      </c>
      <c r="J19" s="381">
        <f t="shared" si="1"/>
        <v>1</v>
      </c>
      <c r="L19" s="170" t="s">
        <v>540</v>
      </c>
      <c r="M19" s="227"/>
      <c r="N19" s="381">
        <v>721.26</v>
      </c>
      <c r="O19" s="381">
        <f t="shared" si="2"/>
        <v>1</v>
      </c>
      <c r="Q19" s="170"/>
      <c r="R19" s="156"/>
      <c r="S19" s="213"/>
      <c r="T19" s="214"/>
      <c r="U19" s="170"/>
      <c r="V19" s="170" t="s">
        <v>503</v>
      </c>
      <c r="W19" s="227"/>
      <c r="X19" s="380">
        <v>568</v>
      </c>
      <c r="Y19" s="380">
        <f t="shared" si="7"/>
        <v>1</v>
      </c>
      <c r="AA19" s="170" t="s">
        <v>514</v>
      </c>
      <c r="AB19" s="137"/>
      <c r="AC19" s="381">
        <v>1606.88</v>
      </c>
      <c r="AD19" s="381">
        <f t="shared" si="3"/>
        <v>1</v>
      </c>
      <c r="AF19" s="126" t="s">
        <v>315</v>
      </c>
      <c r="AG19" s="137"/>
      <c r="AH19" s="363">
        <v>3687.22</v>
      </c>
      <c r="AI19" s="363">
        <f t="shared" si="4"/>
        <v>1</v>
      </c>
      <c r="AK19" s="170"/>
      <c r="AL19" s="156"/>
      <c r="AM19" s="213"/>
      <c r="AN19" s="214"/>
      <c r="AP19" s="170" t="s">
        <v>525</v>
      </c>
      <c r="AQ19" s="137"/>
      <c r="AR19" s="381">
        <v>933</v>
      </c>
      <c r="AS19" s="381">
        <f t="shared" si="5"/>
        <v>1</v>
      </c>
      <c r="AT19" s="227"/>
      <c r="AU19" s="170" t="s">
        <v>550</v>
      </c>
      <c r="AV19" s="137"/>
      <c r="AW19" s="286">
        <v>13203.04</v>
      </c>
      <c r="AX19" s="286">
        <f t="shared" si="6"/>
        <v>1</v>
      </c>
    </row>
    <row r="20" spans="2:50" s="94" customFormat="1" ht="12.75">
      <c r="B20" s="170" t="s">
        <v>480</v>
      </c>
      <c r="C20" s="227"/>
      <c r="D20" s="376">
        <v>990.8</v>
      </c>
      <c r="E20" s="376">
        <f t="shared" si="0"/>
        <v>1</v>
      </c>
      <c r="F20" s="92"/>
      <c r="G20" s="170" t="s">
        <v>480</v>
      </c>
      <c r="H20" s="137"/>
      <c r="I20" s="381">
        <v>942.95</v>
      </c>
      <c r="J20" s="381">
        <f t="shared" si="1"/>
        <v>1</v>
      </c>
      <c r="L20" s="170" t="s">
        <v>541</v>
      </c>
      <c r="M20" s="227"/>
      <c r="N20" s="381">
        <v>1176.88</v>
      </c>
      <c r="O20" s="381">
        <f t="shared" si="2"/>
        <v>1</v>
      </c>
      <c r="Q20" s="170"/>
      <c r="R20" s="156"/>
      <c r="S20" s="213"/>
      <c r="T20" s="214"/>
      <c r="U20" s="170"/>
      <c r="V20" s="170" t="s">
        <v>504</v>
      </c>
      <c r="W20" s="227"/>
      <c r="X20" s="381">
        <v>692</v>
      </c>
      <c r="Y20" s="381">
        <f t="shared" si="7"/>
        <v>1</v>
      </c>
      <c r="AA20" s="170" t="s">
        <v>515</v>
      </c>
      <c r="AB20" s="137"/>
      <c r="AC20" s="382">
        <v>2707.34</v>
      </c>
      <c r="AD20" s="382">
        <f t="shared" si="3"/>
        <v>1</v>
      </c>
      <c r="AF20" s="126" t="s">
        <v>324</v>
      </c>
      <c r="AG20" s="137"/>
      <c r="AH20" s="363">
        <v>4137.37</v>
      </c>
      <c r="AI20" s="363">
        <f t="shared" si="4"/>
        <v>1</v>
      </c>
      <c r="AK20" s="170"/>
      <c r="AL20" s="156"/>
      <c r="AM20" s="213"/>
      <c r="AN20" s="214"/>
      <c r="AP20" s="170" t="s">
        <v>526</v>
      </c>
      <c r="AQ20" s="137"/>
      <c r="AR20" s="381">
        <v>1007</v>
      </c>
      <c r="AS20" s="381">
        <f t="shared" si="5"/>
        <v>1</v>
      </c>
      <c r="AT20" s="227"/>
      <c r="AU20" s="170" t="s">
        <v>551</v>
      </c>
      <c r="AV20" s="137"/>
      <c r="AW20" s="286">
        <v>11783.6</v>
      </c>
      <c r="AX20" s="286">
        <f t="shared" si="6"/>
        <v>1</v>
      </c>
    </row>
    <row r="21" spans="2:50" s="94" customFormat="1" ht="12.75">
      <c r="B21" s="170" t="s">
        <v>481</v>
      </c>
      <c r="C21" s="227"/>
      <c r="D21" s="376">
        <v>990.8</v>
      </c>
      <c r="E21" s="376">
        <f t="shared" si="0"/>
        <v>1</v>
      </c>
      <c r="F21" s="92"/>
      <c r="G21" s="170" t="s">
        <v>481</v>
      </c>
      <c r="H21" s="137"/>
      <c r="I21" s="381">
        <v>1001.47</v>
      </c>
      <c r="J21" s="381">
        <f t="shared" si="1"/>
        <v>1</v>
      </c>
      <c r="L21" s="170" t="s">
        <v>542</v>
      </c>
      <c r="M21" s="227"/>
      <c r="N21" s="382">
        <v>2475.96</v>
      </c>
      <c r="O21" s="382">
        <f t="shared" si="2"/>
        <v>1</v>
      </c>
      <c r="Q21" s="170"/>
      <c r="R21" s="156"/>
      <c r="S21" s="213"/>
      <c r="T21" s="214"/>
      <c r="U21" s="170"/>
      <c r="V21" s="170" t="s">
        <v>505</v>
      </c>
      <c r="W21" s="227"/>
      <c r="X21" s="381">
        <v>692</v>
      </c>
      <c r="Y21" s="381">
        <f t="shared" si="7"/>
        <v>1</v>
      </c>
      <c r="AA21" s="170" t="s">
        <v>516</v>
      </c>
      <c r="AB21" s="137"/>
      <c r="AC21" s="382">
        <v>4126.86</v>
      </c>
      <c r="AD21" s="382">
        <f t="shared" si="3"/>
        <v>1</v>
      </c>
      <c r="AF21" s="126" t="s">
        <v>334</v>
      </c>
      <c r="AG21" s="137"/>
      <c r="AH21" s="364">
        <v>16987.11</v>
      </c>
      <c r="AI21" s="364">
        <f t="shared" si="4"/>
        <v>1</v>
      </c>
      <c r="AK21" s="170"/>
      <c r="AL21" s="156"/>
      <c r="AM21" s="213"/>
      <c r="AN21" s="214"/>
      <c r="AP21" s="170" t="s">
        <v>527</v>
      </c>
      <c r="AQ21" s="137"/>
      <c r="AR21" s="381">
        <v>1007</v>
      </c>
      <c r="AS21" s="381">
        <f t="shared" si="5"/>
        <v>1</v>
      </c>
      <c r="AT21" s="227"/>
      <c r="AU21" s="170" t="s">
        <v>552</v>
      </c>
      <c r="AV21" s="137"/>
      <c r="AW21" s="287">
        <v>6435.8</v>
      </c>
      <c r="AX21" s="287">
        <f t="shared" si="6"/>
        <v>1</v>
      </c>
    </row>
    <row r="22" spans="2:50" s="94" customFormat="1" ht="12.75">
      <c r="B22" s="170" t="s">
        <v>482</v>
      </c>
      <c r="C22" s="227"/>
      <c r="D22" s="377">
        <v>3707.2</v>
      </c>
      <c r="E22" s="377">
        <f t="shared" si="0"/>
        <v>1</v>
      </c>
      <c r="F22" s="92"/>
      <c r="G22" s="170" t="s">
        <v>496</v>
      </c>
      <c r="H22" s="137"/>
      <c r="I22" s="382">
        <v>3655.66</v>
      </c>
      <c r="J22" s="382">
        <f t="shared" si="1"/>
        <v>1</v>
      </c>
      <c r="L22" s="170" t="s">
        <v>543</v>
      </c>
      <c r="M22" s="227"/>
      <c r="N22" s="382">
        <v>2952.54</v>
      </c>
      <c r="O22" s="382">
        <f t="shared" si="2"/>
        <v>1</v>
      </c>
      <c r="Q22" s="170"/>
      <c r="R22" s="156"/>
      <c r="S22" s="213"/>
      <c r="T22" s="214"/>
      <c r="U22" s="170"/>
      <c r="V22" s="170" t="s">
        <v>480</v>
      </c>
      <c r="W22" s="227"/>
      <c r="X22" s="381">
        <v>826</v>
      </c>
      <c r="Y22" s="381">
        <f t="shared" si="7"/>
        <v>1</v>
      </c>
      <c r="AA22" s="170" t="s">
        <v>517</v>
      </c>
      <c r="AB22" s="137"/>
      <c r="AC22" s="383">
        <v>11468.58</v>
      </c>
      <c r="AD22" s="383">
        <f t="shared" si="3"/>
        <v>1</v>
      </c>
      <c r="AF22" s="126" t="s">
        <v>343</v>
      </c>
      <c r="AG22" s="156"/>
      <c r="AH22" s="364">
        <v>31507.05</v>
      </c>
      <c r="AI22" s="364">
        <f t="shared" si="4"/>
        <v>1</v>
      </c>
      <c r="AK22" s="170"/>
      <c r="AL22" s="156"/>
      <c r="AM22" s="213"/>
      <c r="AN22" s="214"/>
      <c r="AP22" s="170" t="s">
        <v>528</v>
      </c>
      <c r="AQ22" s="137"/>
      <c r="AR22" s="382">
        <v>3025</v>
      </c>
      <c r="AS22" s="382">
        <f t="shared" si="5"/>
        <v>1</v>
      </c>
      <c r="AT22" s="227"/>
      <c r="AU22" s="170" t="s">
        <v>553</v>
      </c>
      <c r="AV22" s="137"/>
      <c r="AW22" s="287">
        <v>6435.8</v>
      </c>
      <c r="AX22" s="287">
        <f t="shared" si="6"/>
        <v>1</v>
      </c>
    </row>
    <row r="23" spans="2:50" s="94" customFormat="1" ht="12.75">
      <c r="B23" s="170" t="s">
        <v>483</v>
      </c>
      <c r="C23" s="227"/>
      <c r="D23" s="377">
        <v>3918.74</v>
      </c>
      <c r="E23" s="377">
        <f t="shared" si="0"/>
        <v>1</v>
      </c>
      <c r="F23" s="92"/>
      <c r="G23" s="170" t="s">
        <v>497</v>
      </c>
      <c r="H23" s="137"/>
      <c r="I23" s="383">
        <v>12506.1</v>
      </c>
      <c r="J23" s="383">
        <f t="shared" si="1"/>
        <v>1</v>
      </c>
      <c r="L23" s="170" t="s">
        <v>544</v>
      </c>
      <c r="M23" s="92"/>
      <c r="N23" s="383">
        <v>29598.72</v>
      </c>
      <c r="O23" s="383">
        <f t="shared" si="2"/>
        <v>1</v>
      </c>
      <c r="Q23" s="170"/>
      <c r="R23" s="156"/>
      <c r="S23" s="213"/>
      <c r="T23" s="214"/>
      <c r="U23" s="170"/>
      <c r="V23" s="170" t="s">
        <v>481</v>
      </c>
      <c r="W23" s="227"/>
      <c r="X23" s="381">
        <v>826</v>
      </c>
      <c r="Y23" s="381">
        <f t="shared" si="7"/>
        <v>1</v>
      </c>
      <c r="AA23" s="170" t="s">
        <v>518</v>
      </c>
      <c r="AB23" s="137"/>
      <c r="AC23" s="383">
        <v>22321.52</v>
      </c>
      <c r="AD23" s="383">
        <f t="shared" si="3"/>
        <v>1</v>
      </c>
      <c r="AF23" s="126" t="s">
        <v>415</v>
      </c>
      <c r="AG23" s="137"/>
      <c r="AH23" s="364">
        <v>50035.9</v>
      </c>
      <c r="AI23" s="364">
        <f t="shared" si="4"/>
        <v>1</v>
      </c>
      <c r="AK23" s="170"/>
      <c r="AL23" s="156"/>
      <c r="AM23" s="213"/>
      <c r="AN23" s="214"/>
      <c r="AP23" s="170" t="s">
        <v>529</v>
      </c>
      <c r="AQ23" s="137"/>
      <c r="AR23" s="382">
        <v>3130</v>
      </c>
      <c r="AS23" s="382">
        <f t="shared" si="5"/>
        <v>1</v>
      </c>
      <c r="AT23" s="227"/>
      <c r="AU23" s="170" t="s">
        <v>554</v>
      </c>
      <c r="AV23" s="137"/>
      <c r="AW23" s="287">
        <v>4903.46</v>
      </c>
      <c r="AX23" s="287">
        <f t="shared" si="6"/>
        <v>1</v>
      </c>
    </row>
    <row r="24" spans="2:50" s="94" customFormat="1" ht="12.75">
      <c r="B24" s="170" t="s">
        <v>484</v>
      </c>
      <c r="C24" s="227"/>
      <c r="D24" s="377">
        <v>5402.33</v>
      </c>
      <c r="E24" s="377">
        <f t="shared" si="0"/>
        <v>1</v>
      </c>
      <c r="F24" s="92"/>
      <c r="G24" s="170" t="s">
        <v>498</v>
      </c>
      <c r="H24" s="137"/>
      <c r="I24" s="383">
        <v>47812.01</v>
      </c>
      <c r="J24" s="383">
        <f t="shared" si="1"/>
        <v>1</v>
      </c>
      <c r="L24" s="170" t="s">
        <v>545</v>
      </c>
      <c r="M24" s="96"/>
      <c r="N24" s="383">
        <v>36978.66</v>
      </c>
      <c r="O24" s="383">
        <f t="shared" si="2"/>
        <v>1</v>
      </c>
      <c r="Q24" s="170"/>
      <c r="R24" s="156"/>
      <c r="S24" s="213"/>
      <c r="T24" s="214"/>
      <c r="U24" s="170"/>
      <c r="V24" s="170" t="s">
        <v>506</v>
      </c>
      <c r="W24" s="227"/>
      <c r="X24" s="382">
        <v>2101</v>
      </c>
      <c r="Y24" s="382">
        <f t="shared" si="7"/>
        <v>1</v>
      </c>
      <c r="AA24" s="170" t="s">
        <v>519</v>
      </c>
      <c r="AB24" s="137"/>
      <c r="AC24" s="383">
        <v>32013.79</v>
      </c>
      <c r="AD24" s="383">
        <f t="shared" si="3"/>
        <v>1</v>
      </c>
      <c r="AF24" s="126" t="s">
        <v>361</v>
      </c>
      <c r="AG24" s="137"/>
      <c r="AH24" s="365">
        <v>221208.2</v>
      </c>
      <c r="AI24" s="365">
        <f t="shared" si="4"/>
        <v>1</v>
      </c>
      <c r="AK24" s="170"/>
      <c r="AL24" s="156"/>
      <c r="AM24" s="213"/>
      <c r="AN24" s="214"/>
      <c r="AP24" s="170" t="s">
        <v>530</v>
      </c>
      <c r="AQ24" s="137"/>
      <c r="AR24" s="382">
        <v>4020</v>
      </c>
      <c r="AS24" s="382">
        <f t="shared" si="5"/>
        <v>1</v>
      </c>
      <c r="AT24" s="227"/>
      <c r="AU24" s="170" t="s">
        <v>555</v>
      </c>
      <c r="AV24" s="137"/>
      <c r="AW24" s="287">
        <v>4903.46</v>
      </c>
      <c r="AX24" s="287">
        <f t="shared" si="6"/>
        <v>1</v>
      </c>
    </row>
    <row r="25" spans="2:50" s="94" customFormat="1" ht="12.75">
      <c r="B25" s="170" t="s">
        <v>485</v>
      </c>
      <c r="C25" s="227"/>
      <c r="D25" s="377">
        <v>5753.07</v>
      </c>
      <c r="E25" s="377">
        <f t="shared" si="0"/>
        <v>1</v>
      </c>
      <c r="F25" s="92"/>
      <c r="G25" s="170" t="s">
        <v>499</v>
      </c>
      <c r="H25" s="137"/>
      <c r="I25" s="384">
        <v>181433.46</v>
      </c>
      <c r="J25" s="384">
        <f t="shared" si="1"/>
        <v>1</v>
      </c>
      <c r="L25" s="170" t="s">
        <v>546</v>
      </c>
      <c r="M25" s="96"/>
      <c r="N25" s="383">
        <v>36978.66</v>
      </c>
      <c r="O25" s="383">
        <f t="shared" si="2"/>
        <v>1</v>
      </c>
      <c r="Q25" s="170"/>
      <c r="R25" s="156"/>
      <c r="S25" s="213"/>
      <c r="T25" s="214"/>
      <c r="U25" s="170"/>
      <c r="V25" s="170" t="s">
        <v>507</v>
      </c>
      <c r="W25" s="227"/>
      <c r="X25" s="382">
        <v>2769</v>
      </c>
      <c r="Y25" s="382">
        <f t="shared" si="7"/>
        <v>1</v>
      </c>
      <c r="AA25" s="170" t="s">
        <v>520</v>
      </c>
      <c r="AB25" s="137"/>
      <c r="AC25" s="384">
        <v>103660.98</v>
      </c>
      <c r="AD25" s="384">
        <f t="shared" si="3"/>
        <v>1</v>
      </c>
      <c r="AF25" s="126" t="s">
        <v>370</v>
      </c>
      <c r="AG25" s="137"/>
      <c r="AH25" s="365">
        <v>321925.29</v>
      </c>
      <c r="AI25" s="365">
        <f t="shared" si="4"/>
        <v>1</v>
      </c>
      <c r="AK25" s="170"/>
      <c r="AL25" s="156"/>
      <c r="AM25" s="213"/>
      <c r="AN25" s="214"/>
      <c r="AP25" s="170" t="s">
        <v>531</v>
      </c>
      <c r="AQ25" s="137"/>
      <c r="AR25" s="382">
        <v>4615</v>
      </c>
      <c r="AS25" s="382">
        <f t="shared" si="5"/>
        <v>1</v>
      </c>
      <c r="AT25" s="227"/>
      <c r="AU25" s="170" t="s">
        <v>556</v>
      </c>
      <c r="AV25" s="137"/>
      <c r="AW25" s="287">
        <v>4734.9</v>
      </c>
      <c r="AX25" s="287">
        <f t="shared" si="6"/>
        <v>1</v>
      </c>
    </row>
    <row r="26" spans="2:50" s="94" customFormat="1" ht="12.75">
      <c r="B26" s="170" t="s">
        <v>486</v>
      </c>
      <c r="C26" s="227"/>
      <c r="D26" s="377">
        <v>6030.24</v>
      </c>
      <c r="E26" s="377">
        <f t="shared" si="0"/>
        <v>1</v>
      </c>
      <c r="F26" s="92"/>
      <c r="G26" s="170" t="s">
        <v>500</v>
      </c>
      <c r="H26" s="137"/>
      <c r="I26" s="384">
        <v>197980.22</v>
      </c>
      <c r="J26" s="384">
        <f t="shared" si="1"/>
        <v>1</v>
      </c>
      <c r="L26" s="170" t="s">
        <v>330</v>
      </c>
      <c r="M26" s="96"/>
      <c r="N26" s="384">
        <v>172840.62</v>
      </c>
      <c r="O26" s="384">
        <f t="shared" si="2"/>
        <v>1</v>
      </c>
      <c r="Q26" s="170"/>
      <c r="R26" s="156"/>
      <c r="S26" s="213"/>
      <c r="T26" s="214"/>
      <c r="U26" s="170"/>
      <c r="V26" s="170" t="s">
        <v>508</v>
      </c>
      <c r="W26" s="227"/>
      <c r="X26" s="383">
        <v>10118</v>
      </c>
      <c r="Y26" s="383">
        <f t="shared" si="7"/>
        <v>1</v>
      </c>
      <c r="AA26" s="170" t="s">
        <v>521</v>
      </c>
      <c r="AB26" s="137"/>
      <c r="AC26" s="384">
        <v>143257.34</v>
      </c>
      <c r="AD26" s="384">
        <f t="shared" si="3"/>
        <v>1</v>
      </c>
      <c r="AF26" s="126" t="s">
        <v>379</v>
      </c>
      <c r="AG26" s="137"/>
      <c r="AH26" s="367">
        <v>329.4</v>
      </c>
      <c r="AI26" s="367">
        <f t="shared" si="4"/>
        <v>1</v>
      </c>
      <c r="AK26" s="170"/>
      <c r="AL26" s="156"/>
      <c r="AM26" s="213"/>
      <c r="AN26" s="214"/>
      <c r="AP26" s="170" t="s">
        <v>532</v>
      </c>
      <c r="AQ26" s="137"/>
      <c r="AR26" s="382">
        <v>4615</v>
      </c>
      <c r="AS26" s="382">
        <f t="shared" si="5"/>
        <v>1</v>
      </c>
      <c r="AT26" s="227"/>
      <c r="AU26" s="170" t="s">
        <v>557</v>
      </c>
      <c r="AV26" s="137"/>
      <c r="AW26" s="287">
        <v>4434.45</v>
      </c>
      <c r="AX26" s="287">
        <f t="shared" si="6"/>
        <v>1</v>
      </c>
    </row>
    <row r="27" spans="2:50" s="94" customFormat="1" ht="12.75">
      <c r="B27" s="170" t="s">
        <v>487</v>
      </c>
      <c r="C27" s="227"/>
      <c r="D27" s="377">
        <v>25009.12</v>
      </c>
      <c r="E27" s="377">
        <f t="shared" si="0"/>
        <v>1</v>
      </c>
      <c r="G27" s="157"/>
      <c r="H27" s="158"/>
      <c r="I27" s="159"/>
      <c r="J27" s="291"/>
      <c r="L27" s="256" t="s">
        <v>340</v>
      </c>
      <c r="M27" s="195"/>
      <c r="N27" s="384">
        <v>221938.7</v>
      </c>
      <c r="O27" s="384">
        <f t="shared" si="2"/>
        <v>1</v>
      </c>
      <c r="Q27" s="170"/>
      <c r="R27" s="156"/>
      <c r="S27" s="213"/>
      <c r="T27" s="214"/>
      <c r="U27" s="170"/>
      <c r="V27" s="170" t="s">
        <v>509</v>
      </c>
      <c r="W27" s="227"/>
      <c r="X27" s="383">
        <v>22576</v>
      </c>
      <c r="Y27" s="383">
        <f t="shared" si="7"/>
        <v>1</v>
      </c>
      <c r="AA27" s="157"/>
      <c r="AB27" s="158"/>
      <c r="AC27" s="159"/>
      <c r="AD27" s="299"/>
      <c r="AF27" s="157"/>
      <c r="AG27" s="158"/>
      <c r="AH27" s="168"/>
      <c r="AI27" s="291"/>
      <c r="AK27" s="170"/>
      <c r="AL27" s="156"/>
      <c r="AM27" s="213"/>
      <c r="AN27" s="214"/>
      <c r="AP27" s="170" t="s">
        <v>533</v>
      </c>
      <c r="AQ27" s="137"/>
      <c r="AR27" s="383">
        <v>18305</v>
      </c>
      <c r="AS27" s="383">
        <f t="shared" si="5"/>
        <v>1</v>
      </c>
      <c r="AT27" s="227"/>
      <c r="AU27" s="170" t="s">
        <v>481</v>
      </c>
      <c r="AV27" s="137"/>
      <c r="AW27" s="288">
        <v>1245.02</v>
      </c>
      <c r="AX27" s="288">
        <f t="shared" si="6"/>
        <v>1</v>
      </c>
    </row>
    <row r="28" spans="2:50" s="94" customFormat="1" ht="12.75">
      <c r="B28" s="170" t="s">
        <v>488</v>
      </c>
      <c r="C28" s="92"/>
      <c r="D28" s="377">
        <v>29110.35</v>
      </c>
      <c r="E28" s="377">
        <f t="shared" si="0"/>
        <v>1</v>
      </c>
      <c r="L28" s="181"/>
      <c r="M28" s="182"/>
      <c r="N28" s="240"/>
      <c r="O28" s="355"/>
      <c r="Q28" s="157"/>
      <c r="R28" s="158"/>
      <c r="S28" s="159"/>
      <c r="T28" s="160"/>
      <c r="U28" s="170"/>
      <c r="V28" s="170" t="s">
        <v>510</v>
      </c>
      <c r="W28" s="227"/>
      <c r="X28" s="384">
        <v>149089</v>
      </c>
      <c r="Y28" s="384">
        <f t="shared" si="7"/>
        <v>1</v>
      </c>
      <c r="AK28" s="157"/>
      <c r="AL28" s="158"/>
      <c r="AM28" s="159"/>
      <c r="AN28" s="160"/>
      <c r="AP28" s="170" t="s">
        <v>534</v>
      </c>
      <c r="AQ28" s="156"/>
      <c r="AR28" s="383">
        <v>21455</v>
      </c>
      <c r="AS28" s="383">
        <f t="shared" si="5"/>
        <v>1</v>
      </c>
      <c r="AT28" s="92"/>
      <c r="AU28" s="170" t="s">
        <v>480</v>
      </c>
      <c r="AV28" s="156"/>
      <c r="AW28" s="288">
        <v>1173.41</v>
      </c>
      <c r="AX28" s="288">
        <f t="shared" si="6"/>
        <v>1</v>
      </c>
    </row>
    <row r="29" spans="2:50" ht="12.75">
      <c r="B29" s="170" t="s">
        <v>489</v>
      </c>
      <c r="C29" s="244"/>
      <c r="D29" s="378">
        <v>58385.75</v>
      </c>
      <c r="E29" s="378">
        <f t="shared" si="0"/>
        <v>1</v>
      </c>
      <c r="V29" s="256" t="s">
        <v>511</v>
      </c>
      <c r="W29" s="309"/>
      <c r="X29" s="384">
        <v>231888</v>
      </c>
      <c r="Y29" s="384">
        <f t="shared" si="7"/>
        <v>1</v>
      </c>
      <c r="AP29" s="170" t="s">
        <v>535</v>
      </c>
      <c r="AQ29" s="347"/>
      <c r="AR29" s="383">
        <v>48889.79265</v>
      </c>
      <c r="AS29" s="383">
        <f t="shared" si="5"/>
        <v>1</v>
      </c>
      <c r="AT29" s="92"/>
      <c r="AU29" s="170" t="s">
        <v>392</v>
      </c>
      <c r="AV29" s="156"/>
      <c r="AW29" s="288">
        <v>1035.32</v>
      </c>
      <c r="AX29" s="288">
        <f t="shared" si="6"/>
        <v>1</v>
      </c>
    </row>
    <row r="30" spans="2:50" ht="12.75">
      <c r="B30" s="170" t="s">
        <v>490</v>
      </c>
      <c r="C30" s="244"/>
      <c r="D30" s="378">
        <v>59315.34</v>
      </c>
      <c r="E30" s="378">
        <f t="shared" si="0"/>
        <v>1</v>
      </c>
      <c r="V30" s="350"/>
      <c r="W30" s="245"/>
      <c r="X30" s="249"/>
      <c r="Y30" s="348"/>
      <c r="AA30" s="203"/>
      <c r="AP30" s="170" t="s">
        <v>536</v>
      </c>
      <c r="AQ30" s="347"/>
      <c r="AR30" s="384">
        <v>311337.36065</v>
      </c>
      <c r="AS30" s="384">
        <f t="shared" si="5"/>
        <v>1</v>
      </c>
      <c r="AT30" s="92"/>
      <c r="AU30" s="170" t="s">
        <v>393</v>
      </c>
      <c r="AV30" s="156"/>
      <c r="AW30" s="288">
        <v>745.72</v>
      </c>
      <c r="AX30" s="288">
        <f t="shared" si="6"/>
        <v>1</v>
      </c>
    </row>
    <row r="31" spans="2:50" ht="12.75">
      <c r="B31" s="256" t="s">
        <v>491</v>
      </c>
      <c r="C31" s="245"/>
      <c r="D31" s="378">
        <v>59777.33</v>
      </c>
      <c r="E31" s="378">
        <f t="shared" si="0"/>
        <v>1</v>
      </c>
      <c r="AP31" s="170" t="s">
        <v>537</v>
      </c>
      <c r="AQ31" s="347"/>
      <c r="AR31" s="384">
        <v>332744.76574999996</v>
      </c>
      <c r="AS31" s="384">
        <f t="shared" si="5"/>
        <v>1</v>
      </c>
      <c r="AT31" s="92"/>
      <c r="AU31" s="170" t="s">
        <v>295</v>
      </c>
      <c r="AV31" s="156"/>
      <c r="AW31" s="289">
        <v>678.65</v>
      </c>
      <c r="AX31" s="289">
        <f t="shared" si="6"/>
        <v>1</v>
      </c>
    </row>
    <row r="32" spans="2:50" ht="12.75">
      <c r="B32" s="247"/>
      <c r="C32" s="248"/>
      <c r="D32" s="249"/>
      <c r="E32" s="348"/>
      <c r="AP32" s="247"/>
      <c r="AQ32" s="250"/>
      <c r="AR32" s="249"/>
      <c r="AS32" s="348"/>
      <c r="AT32" s="170"/>
      <c r="AU32" s="170" t="s">
        <v>558</v>
      </c>
      <c r="AV32" s="156"/>
      <c r="AW32" s="292">
        <v>356.53</v>
      </c>
      <c r="AX32" s="292">
        <f t="shared" si="6"/>
        <v>1</v>
      </c>
    </row>
    <row r="33" spans="47:50" ht="12.75">
      <c r="AU33" s="157"/>
      <c r="AV33" s="158"/>
      <c r="AW33" s="159"/>
      <c r="AX33" s="291"/>
    </row>
    <row r="34" spans="2:50" s="94" customFormat="1" ht="12.75">
      <c r="B34" s="217" t="s">
        <v>451</v>
      </c>
      <c r="C34" s="182"/>
      <c r="D34" s="219">
        <f>SUMPRODUCT(D16:D32,E16:E32)</f>
        <v>261307.66999999998</v>
      </c>
      <c r="G34" s="217" t="s">
        <v>451</v>
      </c>
      <c r="H34" s="182"/>
      <c r="I34" s="219">
        <f>SUMPRODUCT(I16:I32,J16:J32)</f>
        <v>447753.69</v>
      </c>
      <c r="L34" s="217" t="s">
        <v>451</v>
      </c>
      <c r="M34" s="182"/>
      <c r="N34" s="219">
        <f>SUMPRODUCT(N16:N32,O16:O32)</f>
        <v>507190.69</v>
      </c>
      <c r="Q34" s="217" t="s">
        <v>451</v>
      </c>
      <c r="R34" s="182"/>
      <c r="S34" s="219">
        <f>SUMPRODUCT(S16:S32,T16:T32)</f>
        <v>0</v>
      </c>
      <c r="V34" s="217" t="s">
        <v>451</v>
      </c>
      <c r="W34" s="182"/>
      <c r="X34" s="219">
        <f>SUMPRODUCT(X17:X32,Y17:Y32)</f>
        <v>423009</v>
      </c>
      <c r="AA34" s="217" t="s">
        <v>451</v>
      </c>
      <c r="AB34" s="182"/>
      <c r="AC34" s="219">
        <f>SUMPRODUCT(AC16:AC32,AD16:AD32)</f>
        <v>322791.11</v>
      </c>
      <c r="AF34" s="217" t="s">
        <v>451</v>
      </c>
      <c r="AG34" s="182"/>
      <c r="AH34" s="219">
        <f>SUMPRODUCT(AH16:AH32,AI16:AI32)</f>
        <v>652235.37</v>
      </c>
      <c r="AK34" s="217" t="s">
        <v>451</v>
      </c>
      <c r="AL34" s="182"/>
      <c r="AM34" s="219">
        <f>SUMPRODUCT(AM16:AM32,AN16:AN32)</f>
        <v>0</v>
      </c>
      <c r="AP34" s="217" t="s">
        <v>451</v>
      </c>
      <c r="AQ34" s="182"/>
      <c r="AR34" s="219">
        <f>SUMPRODUCT(AR16:AR32,AS16:AS32)</f>
        <v>756889.9190499999</v>
      </c>
      <c r="AU34" s="217" t="s">
        <v>451</v>
      </c>
      <c r="AV34" s="182"/>
      <c r="AW34" s="219">
        <f>SUMPRODUCT(AW16:AW32,AX16:AX32)</f>
        <v>320215.98000000004</v>
      </c>
      <c r="AX34" s="91"/>
    </row>
    <row r="36" spans="1:12" s="199" customFormat="1" ht="12.75">
      <c r="A36" s="199" t="s">
        <v>477</v>
      </c>
      <c r="B36" s="83"/>
      <c r="C36" s="200"/>
      <c r="D36" s="200"/>
      <c r="E36" s="200"/>
      <c r="F36" s="200"/>
      <c r="G36" s="200"/>
      <c r="H36" s="200"/>
      <c r="I36" s="200"/>
      <c r="J36" s="200"/>
      <c r="K36" s="200"/>
      <c r="L36" s="200"/>
    </row>
    <row r="37" s="94" customFormat="1" ht="12.75"/>
    <row r="38" spans="2:47" s="94" customFormat="1" ht="12.75">
      <c r="B38" s="171" t="s">
        <v>146</v>
      </c>
      <c r="G38" s="171" t="s">
        <v>29</v>
      </c>
      <c r="L38" s="171" t="s">
        <v>147</v>
      </c>
      <c r="Q38" s="171" t="s">
        <v>288</v>
      </c>
      <c r="V38" s="171" t="s">
        <v>148</v>
      </c>
      <c r="AA38" s="171" t="s">
        <v>149</v>
      </c>
      <c r="AF38" s="171" t="s">
        <v>150</v>
      </c>
      <c r="AK38" s="121" t="s">
        <v>195</v>
      </c>
      <c r="AL38" s="86"/>
      <c r="AM38" s="86"/>
      <c r="AN38" s="86"/>
      <c r="AP38" s="171" t="s">
        <v>151</v>
      </c>
      <c r="AU38" s="171" t="s">
        <v>30</v>
      </c>
    </row>
    <row r="39" spans="2:50" s="94" customFormat="1" ht="12.75">
      <c r="B39" s="124" t="s">
        <v>476</v>
      </c>
      <c r="C39" s="182"/>
      <c r="D39" s="183" t="s">
        <v>402</v>
      </c>
      <c r="E39" s="184" t="s">
        <v>403</v>
      </c>
      <c r="G39" s="124" t="s">
        <v>476</v>
      </c>
      <c r="H39" s="182"/>
      <c r="I39" s="183" t="s">
        <v>402</v>
      </c>
      <c r="J39" s="184" t="s">
        <v>403</v>
      </c>
      <c r="L39" s="124" t="s">
        <v>476</v>
      </c>
      <c r="M39" s="182"/>
      <c r="N39" s="183" t="s">
        <v>402</v>
      </c>
      <c r="O39" s="184" t="s">
        <v>403</v>
      </c>
      <c r="Q39" s="316"/>
      <c r="R39" s="220"/>
      <c r="S39" s="269"/>
      <c r="T39" s="270"/>
      <c r="V39" s="124" t="s">
        <v>476</v>
      </c>
      <c r="W39" s="182"/>
      <c r="X39" s="183" t="s">
        <v>402</v>
      </c>
      <c r="Y39" s="184" t="s">
        <v>403</v>
      </c>
      <c r="AA39" s="124" t="s">
        <v>476</v>
      </c>
      <c r="AB39" s="182"/>
      <c r="AC39" s="183" t="s">
        <v>402</v>
      </c>
      <c r="AD39" s="184" t="s">
        <v>403</v>
      </c>
      <c r="AF39" s="124" t="s">
        <v>476</v>
      </c>
      <c r="AG39" s="182"/>
      <c r="AH39" s="183" t="s">
        <v>402</v>
      </c>
      <c r="AI39" s="184" t="s">
        <v>403</v>
      </c>
      <c r="AK39" s="316"/>
      <c r="AL39" s="220"/>
      <c r="AM39" s="269"/>
      <c r="AN39" s="270"/>
      <c r="AP39" s="124" t="s">
        <v>476</v>
      </c>
      <c r="AQ39" s="182"/>
      <c r="AR39" s="183" t="s">
        <v>402</v>
      </c>
      <c r="AS39" s="184" t="s">
        <v>403</v>
      </c>
      <c r="AU39" s="124" t="s">
        <v>476</v>
      </c>
      <c r="AV39" s="182"/>
      <c r="AW39" s="183" t="s">
        <v>402</v>
      </c>
      <c r="AX39" s="184" t="s">
        <v>403</v>
      </c>
    </row>
    <row r="40" spans="2:50" s="94" customFormat="1" ht="12.75">
      <c r="B40" s="175" t="s">
        <v>404</v>
      </c>
      <c r="C40" s="96"/>
      <c r="D40" s="386">
        <f>D16</f>
        <v>350</v>
      </c>
      <c r="E40" s="387">
        <f>E16</f>
        <v>1</v>
      </c>
      <c r="G40" s="175" t="s">
        <v>404</v>
      </c>
      <c r="H40" s="96"/>
      <c r="I40" s="386">
        <f>I16</f>
        <v>284.07</v>
      </c>
      <c r="J40" s="387">
        <f>J16</f>
        <v>1</v>
      </c>
      <c r="L40" s="175" t="s">
        <v>404</v>
      </c>
      <c r="M40" s="96"/>
      <c r="N40" s="386">
        <f>N16</f>
        <v>327.86</v>
      </c>
      <c r="O40" s="387">
        <f>O16</f>
        <v>1</v>
      </c>
      <c r="Q40" s="317"/>
      <c r="R40" s="31"/>
      <c r="S40" s="271"/>
      <c r="T40" s="272"/>
      <c r="V40" s="175" t="s">
        <v>404</v>
      </c>
      <c r="W40" s="96"/>
      <c r="X40" s="386">
        <f>X17</f>
        <v>296</v>
      </c>
      <c r="Y40" s="387">
        <f>Y17</f>
        <v>1</v>
      </c>
      <c r="AA40" s="175" t="s">
        <v>404</v>
      </c>
      <c r="AB40" s="96"/>
      <c r="AC40" s="386">
        <f>AC16</f>
        <v>345.18</v>
      </c>
      <c r="AD40" s="387">
        <f>AD16</f>
        <v>1</v>
      </c>
      <c r="AF40" s="175" t="s">
        <v>404</v>
      </c>
      <c r="AG40" s="96"/>
      <c r="AH40" s="386">
        <f>AH26</f>
        <v>329.4</v>
      </c>
      <c r="AI40" s="387">
        <f>AI26</f>
        <v>1</v>
      </c>
      <c r="AK40" s="317"/>
      <c r="AL40" s="31"/>
      <c r="AM40" s="271"/>
      <c r="AN40" s="272"/>
      <c r="AP40" s="175" t="s">
        <v>404</v>
      </c>
      <c r="AQ40" s="96"/>
      <c r="AR40" s="386">
        <f>AR16</f>
        <v>363</v>
      </c>
      <c r="AS40" s="387">
        <f>AS16</f>
        <v>1</v>
      </c>
      <c r="AU40" s="175" t="s">
        <v>404</v>
      </c>
      <c r="AV40" s="96"/>
      <c r="AW40" s="386">
        <f>AW32</f>
        <v>356.53</v>
      </c>
      <c r="AX40" s="387">
        <f>AX32</f>
        <v>1</v>
      </c>
    </row>
    <row r="41" spans="2:50" s="94" customFormat="1" ht="12.75">
      <c r="B41" s="175" t="s">
        <v>405</v>
      </c>
      <c r="C41" s="96"/>
      <c r="D41" s="388">
        <f>D17</f>
        <v>585</v>
      </c>
      <c r="E41" s="389">
        <f>E17</f>
        <v>1</v>
      </c>
      <c r="G41" s="175" t="s">
        <v>405</v>
      </c>
      <c r="H41" s="96"/>
      <c r="I41" s="388">
        <f>I17</f>
        <v>539.31</v>
      </c>
      <c r="J41" s="389">
        <f>J17</f>
        <v>1</v>
      </c>
      <c r="L41" s="175" t="s">
        <v>405</v>
      </c>
      <c r="M41" s="96"/>
      <c r="N41" s="388">
        <f>N17</f>
        <v>479.57</v>
      </c>
      <c r="O41" s="389">
        <f>O17</f>
        <v>1</v>
      </c>
      <c r="Q41" s="317"/>
      <c r="R41" s="31"/>
      <c r="S41" s="273"/>
      <c r="T41" s="274"/>
      <c r="V41" s="175" t="s">
        <v>405</v>
      </c>
      <c r="W41" s="96"/>
      <c r="X41" s="388">
        <f>X18</f>
        <v>568</v>
      </c>
      <c r="Y41" s="389">
        <f>Y18+Y19</f>
        <v>2</v>
      </c>
      <c r="AA41" s="175" t="s">
        <v>405</v>
      </c>
      <c r="AB41" s="96"/>
      <c r="AC41" s="388">
        <f>AC17</f>
        <v>542.6</v>
      </c>
      <c r="AD41" s="389">
        <f>AD17</f>
        <v>1</v>
      </c>
      <c r="AF41" s="175" t="s">
        <v>405</v>
      </c>
      <c r="AG41" s="96"/>
      <c r="AH41" s="388">
        <f>AH16</f>
        <v>546.7</v>
      </c>
      <c r="AI41" s="389">
        <f>AI16</f>
        <v>1</v>
      </c>
      <c r="AK41" s="317"/>
      <c r="AL41" s="31"/>
      <c r="AM41" s="273"/>
      <c r="AN41" s="274"/>
      <c r="AP41" s="175" t="s">
        <v>405</v>
      </c>
      <c r="AQ41" s="96"/>
      <c r="AR41" s="388">
        <f>AR17</f>
        <v>615</v>
      </c>
      <c r="AS41" s="389">
        <f>AS17</f>
        <v>1</v>
      </c>
      <c r="AU41" s="175" t="s">
        <v>405</v>
      </c>
      <c r="AV41" s="96"/>
      <c r="AW41" s="388">
        <f>AW31</f>
        <v>678.65</v>
      </c>
      <c r="AX41" s="389">
        <f>AX31</f>
        <v>1</v>
      </c>
    </row>
    <row r="42" spans="2:50" s="94" customFormat="1" ht="12.75">
      <c r="B42" s="175" t="s">
        <v>406</v>
      </c>
      <c r="C42" s="96"/>
      <c r="D42" s="390">
        <f>D18</f>
        <v>990.8</v>
      </c>
      <c r="E42" s="391">
        <f>SUM(E18:E21)</f>
        <v>4</v>
      </c>
      <c r="G42" s="175" t="s">
        <v>406</v>
      </c>
      <c r="H42" s="96"/>
      <c r="I42" s="390">
        <f>IF(J42&lt;&gt;0,SUMPRODUCT(I18:I21,J18:J21)/SUM(J18:J21),0)</f>
        <v>885.7150000000001</v>
      </c>
      <c r="J42" s="391">
        <f>SUM(J18:J21)</f>
        <v>4</v>
      </c>
      <c r="L42" s="175" t="s">
        <v>406</v>
      </c>
      <c r="M42" s="96"/>
      <c r="N42" s="390">
        <f>IF(O42&lt;&gt;0,SUMPRODUCT(N18:N20,O18:O20)/SUM(O18:O20),0)</f>
        <v>873.1333333333333</v>
      </c>
      <c r="O42" s="391">
        <f>SUM(O18:O20)</f>
        <v>3</v>
      </c>
      <c r="Q42" s="317"/>
      <c r="R42" s="31"/>
      <c r="S42" s="273"/>
      <c r="T42" s="274"/>
      <c r="V42" s="175" t="s">
        <v>406</v>
      </c>
      <c r="W42" s="96"/>
      <c r="X42" s="390">
        <f>IF(Y42&lt;&gt;0,SUMPRODUCT(X20:X23,Y20:Y23)/SUM(Y20:Y23),0)</f>
        <v>759</v>
      </c>
      <c r="Y42" s="391">
        <f>SUM(Y20:Y23)</f>
        <v>4</v>
      </c>
      <c r="AA42" s="175" t="s">
        <v>406</v>
      </c>
      <c r="AB42" s="96"/>
      <c r="AC42" s="390">
        <f>IF(AD42&lt;&gt;0,SUMPRODUCT(AC18:AC19,AD18:AD19)/SUM(AD18:AD19),0)</f>
        <v>1173.46</v>
      </c>
      <c r="AD42" s="391">
        <f>SUM(AD18:AD19)</f>
        <v>2</v>
      </c>
      <c r="AF42" s="175" t="s">
        <v>406</v>
      </c>
      <c r="AG42" s="96"/>
      <c r="AH42" s="390">
        <f>IF(AI42&lt;&gt;0,SUMPRODUCT(AH17:AH18,AI17:AI18)/SUM(AI17:AI18),0)</f>
        <v>935.565</v>
      </c>
      <c r="AI42" s="391">
        <f>SUM(AI17:AI18)</f>
        <v>2</v>
      </c>
      <c r="AK42" s="317"/>
      <c r="AL42" s="31"/>
      <c r="AM42" s="273"/>
      <c r="AN42" s="274"/>
      <c r="AP42" s="175" t="s">
        <v>406</v>
      </c>
      <c r="AQ42" s="96"/>
      <c r="AR42" s="390">
        <f>IF(AS42&lt;&gt;0,SUMPRODUCT(AR18:AR21,AS18:AS21)/SUM(AS18:AS21),0)</f>
        <v>943.75</v>
      </c>
      <c r="AS42" s="391">
        <f>SUM(AS18:AS21)</f>
        <v>4</v>
      </c>
      <c r="AU42" s="175" t="s">
        <v>406</v>
      </c>
      <c r="AV42" s="96"/>
      <c r="AW42" s="390">
        <f>SUMPRODUCT(AW27:AW30,AX27:AX30)/SUM(AX27:AX30)</f>
        <v>1049.8675</v>
      </c>
      <c r="AX42" s="391">
        <f>SUM(AX27:AX30)</f>
        <v>4</v>
      </c>
    </row>
    <row r="43" spans="2:50" s="94" customFormat="1" ht="12.75">
      <c r="B43" s="175" t="s">
        <v>394</v>
      </c>
      <c r="C43" s="96"/>
      <c r="D43" s="392">
        <f>IF(E43&lt;&gt;0,SUMPRODUCT(D22:D28,E22:E28)/SUM(E22:E28),0)</f>
        <v>11275.864285714284</v>
      </c>
      <c r="E43" s="393">
        <f>SUM(E22:E28)</f>
        <v>7</v>
      </c>
      <c r="G43" s="175" t="s">
        <v>394</v>
      </c>
      <c r="H43" s="96"/>
      <c r="I43" s="392">
        <f>I22</f>
        <v>3655.66</v>
      </c>
      <c r="J43" s="393">
        <f>J22</f>
        <v>1</v>
      </c>
      <c r="L43" s="175" t="s">
        <v>394</v>
      </c>
      <c r="M43" s="96"/>
      <c r="N43" s="392">
        <f>IF(O43&lt;&gt;0,SUMPRODUCT(N21:N22,O21:O22)/SUM(O21:O22),0)</f>
        <v>2714.25</v>
      </c>
      <c r="O43" s="393">
        <f>O22+O21</f>
        <v>2</v>
      </c>
      <c r="Q43" s="317"/>
      <c r="R43" s="31"/>
      <c r="S43" s="273"/>
      <c r="T43" s="274"/>
      <c r="V43" s="175" t="s">
        <v>394</v>
      </c>
      <c r="W43" s="96"/>
      <c r="X43" s="392">
        <f>IF(Y43&lt;&gt;0,SUMPRODUCT(X24:X25,Y24:Y25)/SUM(Y24:Y25),0)</f>
        <v>2435</v>
      </c>
      <c r="Y43" s="393">
        <f>SUM(Y24:Y25)</f>
        <v>2</v>
      </c>
      <c r="AA43" s="175" t="s">
        <v>394</v>
      </c>
      <c r="AB43" s="96"/>
      <c r="AC43" s="392">
        <f>IF(AD43&lt;&gt;0,SUMPRODUCT(AC20:AC21,AD20:AD21)/SUM(AD20:AD21),0)</f>
        <v>3417.1</v>
      </c>
      <c r="AD43" s="393">
        <f>AD21+AD20</f>
        <v>2</v>
      </c>
      <c r="AF43" s="175" t="s">
        <v>394</v>
      </c>
      <c r="AG43" s="96"/>
      <c r="AH43" s="392">
        <f>IF(AI43&lt;&gt;0,SUMPRODUCT(AH19:AH20,AI19:AI20)/SUM(AI19:AI20),0)</f>
        <v>3912.295</v>
      </c>
      <c r="AI43" s="393">
        <f>AI19+AI20</f>
        <v>2</v>
      </c>
      <c r="AK43" s="317"/>
      <c r="AL43" s="31"/>
      <c r="AM43" s="273"/>
      <c r="AN43" s="274"/>
      <c r="AP43" s="175" t="s">
        <v>394</v>
      </c>
      <c r="AQ43" s="96"/>
      <c r="AR43" s="392">
        <f>IF(AS43&lt;&gt;0,SUMPRODUCT(AR22:AR26,AS22:AS26)/SUM(AS22:AS26),0)</f>
        <v>3881</v>
      </c>
      <c r="AS43" s="393">
        <f>SUM(AS22:AS26)</f>
        <v>5</v>
      </c>
      <c r="AU43" s="175" t="s">
        <v>394</v>
      </c>
      <c r="AV43" s="96"/>
      <c r="AW43" s="392">
        <f>SUMPRODUCT(AW21:AW26,AX21:AX26)/SUM(AX21:AX26)</f>
        <v>5307.9783333333335</v>
      </c>
      <c r="AX43" s="393">
        <f>SUM(AX21:AX26)</f>
        <v>6</v>
      </c>
    </row>
    <row r="44" spans="2:50" s="94" customFormat="1" ht="12.75">
      <c r="B44" s="175" t="s">
        <v>397</v>
      </c>
      <c r="C44" s="96"/>
      <c r="D44" s="394">
        <f>IF(E44&lt;&gt;0,SUMPRODUCT(D29:D31,E29:E31)/SUM(E29:E31),0)</f>
        <v>59159.47333333333</v>
      </c>
      <c r="E44" s="395">
        <f>SUM(E29:E31)</f>
        <v>3</v>
      </c>
      <c r="G44" s="175" t="s">
        <v>397</v>
      </c>
      <c r="H44" s="96"/>
      <c r="I44" s="394">
        <f>IF(J44&lt;&gt;0,SUMPRODUCT(I23:I24,J23:J24)/SUM(J23:J24),0)</f>
        <v>30159.055</v>
      </c>
      <c r="J44" s="395">
        <f>J23+J24</f>
        <v>2</v>
      </c>
      <c r="L44" s="175" t="s">
        <v>397</v>
      </c>
      <c r="M44" s="96"/>
      <c r="N44" s="394">
        <f>IF(O44&lt;&gt;0,SUMPRODUCT(N23:N25,O23:O25)/SUM(O23:O25),0)</f>
        <v>34518.68</v>
      </c>
      <c r="O44" s="395">
        <f>O23+O24+O25</f>
        <v>3</v>
      </c>
      <c r="Q44" s="317"/>
      <c r="R44" s="31"/>
      <c r="S44" s="273"/>
      <c r="T44" s="274"/>
      <c r="V44" s="175" t="s">
        <v>397</v>
      </c>
      <c r="W44" s="96"/>
      <c r="X44" s="394">
        <f>IF(Y44&lt;&gt;0,SUMPRODUCT(X26:X27,Y26:Y27)/SUM(Y26:Y27),0)</f>
        <v>16347</v>
      </c>
      <c r="Y44" s="395">
        <f>Y26+Y27</f>
        <v>2</v>
      </c>
      <c r="AA44" s="175" t="s">
        <v>397</v>
      </c>
      <c r="AB44" s="96"/>
      <c r="AC44" s="394">
        <f>IF(AD44&lt;&gt;0,SUMPRODUCT(AC22:AC24,AD22:AD24)/SUM(AD22:AD24),0)</f>
        <v>21934.63</v>
      </c>
      <c r="AD44" s="395">
        <f>AD23+AD24+AD22</f>
        <v>3</v>
      </c>
      <c r="AF44" s="175" t="s">
        <v>397</v>
      </c>
      <c r="AG44" s="96"/>
      <c r="AH44" s="394">
        <f>IF(AI44&lt;&gt;0,SUMPRODUCT(AH21:AH23,AI21:AI23)/SUM(AI21:AI23),0)</f>
        <v>32843.35333333333</v>
      </c>
      <c r="AI44" s="395">
        <f>AI23+AI21+AI22</f>
        <v>3</v>
      </c>
      <c r="AK44" s="317"/>
      <c r="AL44" s="31"/>
      <c r="AM44" s="273"/>
      <c r="AN44" s="274"/>
      <c r="AP44" s="175" t="s">
        <v>397</v>
      </c>
      <c r="AQ44" s="96"/>
      <c r="AR44" s="394">
        <f>IF(AS44&lt;&gt;0,SUMPRODUCT(AR27:AR29,AS27:AS29)/SUM(AS27:AS29),0)</f>
        <v>29549.930883333334</v>
      </c>
      <c r="AS44" s="395">
        <f>SUM(AS27:AS29)</f>
        <v>3</v>
      </c>
      <c r="AU44" s="175" t="s">
        <v>397</v>
      </c>
      <c r="AV44" s="96"/>
      <c r="AW44" s="394">
        <f>SUMPRODUCT(AW17:AW20,AX17:AX20)/SUM(AX17:AX20)</f>
        <v>26090.2975</v>
      </c>
      <c r="AX44" s="395">
        <f>SUM(AX17:AX20)</f>
        <v>4</v>
      </c>
    </row>
    <row r="45" spans="2:50" s="94" customFormat="1" ht="12.75">
      <c r="B45" s="178" t="s">
        <v>400</v>
      </c>
      <c r="C45" s="195"/>
      <c r="D45" s="396"/>
      <c r="E45" s="397"/>
      <c r="G45" s="178" t="s">
        <v>400</v>
      </c>
      <c r="H45" s="195"/>
      <c r="I45" s="400">
        <f>IF(J45&lt;&gt;0,SUMPRODUCT(I25:I26,J25:J26)/SUM(J25:J26),0)</f>
        <v>189706.84</v>
      </c>
      <c r="J45" s="401">
        <f>J26+J25</f>
        <v>2</v>
      </c>
      <c r="L45" s="178" t="s">
        <v>400</v>
      </c>
      <c r="M45" s="195"/>
      <c r="N45" s="400">
        <f>IF(O45&lt;&gt;0,SUMPRODUCT(N26:N27,O26:O27)/SUM(O26:O27),0)</f>
        <v>197389.66</v>
      </c>
      <c r="O45" s="401">
        <f>O26+O27</f>
        <v>2</v>
      </c>
      <c r="Q45" s="318"/>
      <c r="R45" s="239"/>
      <c r="S45" s="275"/>
      <c r="T45" s="241"/>
      <c r="V45" s="178" t="s">
        <v>400</v>
      </c>
      <c r="W45" s="195"/>
      <c r="X45" s="400">
        <f>IF(Y45&lt;&gt;0,SUMPRODUCT(X28:X29,Y28:Y29)/SUM(Y28:Y29),0)</f>
        <v>190488.5</v>
      </c>
      <c r="Y45" s="401">
        <f>Y28+Y29</f>
        <v>2</v>
      </c>
      <c r="AA45" s="178" t="s">
        <v>400</v>
      </c>
      <c r="AB45" s="195"/>
      <c r="AC45" s="400">
        <f>IF(AD45&lt;&gt;0,SUMPRODUCT(AC25:AC26,AD25:AD26)/SUM(AD25:AD26),0)</f>
        <v>123459.16</v>
      </c>
      <c r="AD45" s="401">
        <f>AD26+AD25</f>
        <v>2</v>
      </c>
      <c r="AF45" s="178" t="s">
        <v>400</v>
      </c>
      <c r="AG45" s="195"/>
      <c r="AH45" s="400">
        <f>IF(AI45&lt;&gt;0,SUMPRODUCT(AH24:AH25,AI24:AI25)/SUM(AI24:AI25),0)</f>
        <v>271566.745</v>
      </c>
      <c r="AI45" s="401">
        <f>AI24+AI25</f>
        <v>2</v>
      </c>
      <c r="AK45" s="318"/>
      <c r="AL45" s="239"/>
      <c r="AM45" s="275"/>
      <c r="AN45" s="241"/>
      <c r="AP45" s="178" t="s">
        <v>400</v>
      </c>
      <c r="AQ45" s="195"/>
      <c r="AR45" s="400">
        <f>IF(AS45&lt;&gt;0,SUMPRODUCT(AR30:AR31,AS30:AS31)/SUM(AS30:AS31),0)</f>
        <v>322041.0632</v>
      </c>
      <c r="AS45" s="401">
        <f>SUM(AS30:AS31)</f>
        <v>2</v>
      </c>
      <c r="AU45" s="178" t="s">
        <v>400</v>
      </c>
      <c r="AV45" s="195"/>
      <c r="AW45" s="396">
        <f>AW16</f>
        <v>178772.27</v>
      </c>
      <c r="AX45" s="397">
        <f>AX16</f>
        <v>1</v>
      </c>
    </row>
    <row r="46" spans="2:50" s="86" customFormat="1" ht="12.75">
      <c r="B46" s="223" t="s">
        <v>451</v>
      </c>
      <c r="C46" s="220"/>
      <c r="D46" s="398">
        <f>SUMPRODUCT(D40:D45,E40:E45)</f>
        <v>261307.66999999998</v>
      </c>
      <c r="E46" s="399"/>
      <c r="G46" s="223" t="s">
        <v>451</v>
      </c>
      <c r="H46" s="220"/>
      <c r="I46" s="398">
        <f>SUMPRODUCT(I40:I45,J40:J45)</f>
        <v>447753.69</v>
      </c>
      <c r="J46" s="399"/>
      <c r="L46" s="223" t="s">
        <v>451</v>
      </c>
      <c r="M46" s="220"/>
      <c r="N46" s="398">
        <f>SUMPRODUCT(N40:N45,O40:O45)</f>
        <v>507190.69</v>
      </c>
      <c r="O46" s="399"/>
      <c r="Q46" s="223" t="s">
        <v>451</v>
      </c>
      <c r="R46" s="220"/>
      <c r="S46" s="222">
        <f>SUMPRODUCT(S40:S45,T40:T45)</f>
        <v>0</v>
      </c>
      <c r="T46" s="221"/>
      <c r="V46" s="223" t="s">
        <v>451</v>
      </c>
      <c r="W46" s="220"/>
      <c r="X46" s="398">
        <f>SUMPRODUCT(X40:X45,Y40:Y45)</f>
        <v>423009</v>
      </c>
      <c r="Y46" s="399"/>
      <c r="AA46" s="223" t="s">
        <v>451</v>
      </c>
      <c r="AB46" s="220"/>
      <c r="AC46" s="398">
        <f>SUMPRODUCT(AC40:AC45,AD40:AD45)</f>
        <v>322791.11</v>
      </c>
      <c r="AD46" s="399"/>
      <c r="AF46" s="223" t="s">
        <v>451</v>
      </c>
      <c r="AG46" s="220"/>
      <c r="AH46" s="398">
        <f>SUMPRODUCT(AH40:AH45,AI40:AI45)</f>
        <v>652235.37</v>
      </c>
      <c r="AI46" s="399"/>
      <c r="AK46" s="223" t="s">
        <v>451</v>
      </c>
      <c r="AL46" s="220"/>
      <c r="AM46" s="222">
        <f>SUMPRODUCT(AM40:AM45,AN40:AN45)</f>
        <v>0</v>
      </c>
      <c r="AN46" s="221"/>
      <c r="AP46" s="223" t="s">
        <v>451</v>
      </c>
      <c r="AQ46" s="220"/>
      <c r="AR46" s="398">
        <f>SUMPRODUCT(AR40:AR45,AS40:AS45)</f>
        <v>756889.9190499999</v>
      </c>
      <c r="AS46" s="399"/>
      <c r="AU46" s="223" t="s">
        <v>451</v>
      </c>
      <c r="AV46" s="220"/>
      <c r="AW46" s="398">
        <f>SUMPRODUCT(AW40:AW45,AX40:AX45)</f>
        <v>320215.98</v>
      </c>
      <c r="AX46" s="399"/>
    </row>
    <row r="47" spans="2:44" ht="12.75">
      <c r="B47" s="94"/>
      <c r="C47" s="94"/>
      <c r="D47" s="94"/>
      <c r="E47" s="94"/>
      <c r="S47" s="94"/>
      <c r="T47" s="94"/>
      <c r="V47" s="94"/>
      <c r="W47" s="94"/>
      <c r="X47" s="94"/>
      <c r="Y47" s="94"/>
      <c r="Z47" s="94"/>
      <c r="AK47" s="94"/>
      <c r="AL47" s="94"/>
      <c r="AM47" s="94"/>
      <c r="AN47" s="94"/>
      <c r="AO47" s="94"/>
      <c r="AP47" s="94"/>
      <c r="AQ47" s="94"/>
      <c r="AR47" s="94"/>
    </row>
    <row r="48" spans="1:12" s="199" customFormat="1" ht="12.75">
      <c r="A48" s="199" t="s">
        <v>98</v>
      </c>
      <c r="B48" s="83"/>
      <c r="C48" s="200"/>
      <c r="D48" s="200"/>
      <c r="E48" s="200"/>
      <c r="F48" s="200"/>
      <c r="G48" s="200"/>
      <c r="H48" s="200"/>
      <c r="I48" s="200"/>
      <c r="J48" s="200"/>
      <c r="K48" s="200"/>
      <c r="L48" s="200"/>
    </row>
    <row r="49" spans="2:6" ht="12.75">
      <c r="B49" s="120"/>
      <c r="C49" s="120"/>
      <c r="D49" s="120"/>
      <c r="E49" s="120"/>
      <c r="F49" s="120"/>
    </row>
    <row r="50" spans="2:47" s="94" customFormat="1" ht="15.75">
      <c r="B50" s="281" t="s">
        <v>146</v>
      </c>
      <c r="C50" s="86"/>
      <c r="D50" s="86"/>
      <c r="E50" s="86"/>
      <c r="F50" s="86"/>
      <c r="G50" s="122" t="s">
        <v>29</v>
      </c>
      <c r="L50" s="122" t="s">
        <v>147</v>
      </c>
      <c r="Q50" s="122" t="s">
        <v>288</v>
      </c>
      <c r="V50" s="122" t="s">
        <v>148</v>
      </c>
      <c r="AA50" s="122" t="s">
        <v>149</v>
      </c>
      <c r="AF50" s="281" t="s">
        <v>150</v>
      </c>
      <c r="AK50" s="122" t="s">
        <v>195</v>
      </c>
      <c r="AP50" s="122" t="s">
        <v>151</v>
      </c>
      <c r="AU50" s="123" t="s">
        <v>30</v>
      </c>
    </row>
    <row r="51" spans="2:50" s="94" customFormat="1" ht="12.75">
      <c r="B51" s="124" t="s">
        <v>492</v>
      </c>
      <c r="C51" s="125"/>
      <c r="D51" s="124" t="s">
        <v>402</v>
      </c>
      <c r="E51" s="312" t="s">
        <v>403</v>
      </c>
      <c r="G51" s="124" t="s">
        <v>492</v>
      </c>
      <c r="H51" s="125"/>
      <c r="I51" s="183" t="s">
        <v>402</v>
      </c>
      <c r="J51" s="356" t="s">
        <v>403</v>
      </c>
      <c r="L51" s="124" t="s">
        <v>492</v>
      </c>
      <c r="M51" s="125"/>
      <c r="N51" s="183" t="s">
        <v>402</v>
      </c>
      <c r="O51" s="293" t="s">
        <v>403</v>
      </c>
      <c r="Q51" s="124"/>
      <c r="R51" s="125"/>
      <c r="S51" s="269"/>
      <c r="T51" s="270"/>
      <c r="V51" s="124" t="s">
        <v>492</v>
      </c>
      <c r="W51" s="125"/>
      <c r="X51" s="183" t="s">
        <v>402</v>
      </c>
      <c r="Y51" s="293" t="s">
        <v>403</v>
      </c>
      <c r="AA51" s="124" t="s">
        <v>492</v>
      </c>
      <c r="AB51" s="125"/>
      <c r="AC51" s="183" t="s">
        <v>402</v>
      </c>
      <c r="AD51" s="293" t="s">
        <v>403</v>
      </c>
      <c r="AF51" s="124" t="s">
        <v>492</v>
      </c>
      <c r="AG51" s="125"/>
      <c r="AH51" s="183" t="s">
        <v>402</v>
      </c>
      <c r="AI51" s="293" t="s">
        <v>403</v>
      </c>
      <c r="AK51" s="124"/>
      <c r="AL51" s="125"/>
      <c r="AM51" s="269"/>
      <c r="AN51" s="270"/>
      <c r="AP51" s="124" t="s">
        <v>492</v>
      </c>
      <c r="AQ51" s="125"/>
      <c r="AR51" s="183" t="s">
        <v>402</v>
      </c>
      <c r="AS51" s="293" t="s">
        <v>403</v>
      </c>
      <c r="AU51" s="124" t="s">
        <v>492</v>
      </c>
      <c r="AV51" s="125"/>
      <c r="AW51" s="183" t="s">
        <v>402</v>
      </c>
      <c r="AX51" s="293" t="s">
        <v>403</v>
      </c>
    </row>
    <row r="52" spans="2:50" s="94" customFormat="1" ht="12.75">
      <c r="B52" s="346" t="s">
        <v>478</v>
      </c>
      <c r="C52" s="231"/>
      <c r="D52" s="374">
        <v>17.36</v>
      </c>
      <c r="E52" s="374">
        <v>1</v>
      </c>
      <c r="G52" s="170" t="s">
        <v>494</v>
      </c>
      <c r="H52" s="127"/>
      <c r="I52" s="379">
        <v>14.07</v>
      </c>
      <c r="J52" s="379">
        <v>1</v>
      </c>
      <c r="L52" s="346" t="s">
        <v>538</v>
      </c>
      <c r="M52" s="231"/>
      <c r="N52" s="379">
        <v>15.23</v>
      </c>
      <c r="O52" s="379">
        <v>1</v>
      </c>
      <c r="Q52" s="170"/>
      <c r="R52" s="242"/>
      <c r="S52" s="211"/>
      <c r="T52" s="212"/>
      <c r="V52" s="225"/>
      <c r="W52" s="310"/>
      <c r="X52" s="385"/>
      <c r="Y52" s="385"/>
      <c r="AA52" s="170" t="s">
        <v>512</v>
      </c>
      <c r="AB52" s="127"/>
      <c r="AC52" s="379">
        <v>23.04</v>
      </c>
      <c r="AD52" s="379">
        <v>1</v>
      </c>
      <c r="AF52" s="132" t="s">
        <v>295</v>
      </c>
      <c r="AG52" s="127"/>
      <c r="AH52" s="366">
        <v>21.6</v>
      </c>
      <c r="AI52" s="366">
        <v>1</v>
      </c>
      <c r="AK52" s="170"/>
      <c r="AL52" s="242"/>
      <c r="AM52" s="211"/>
      <c r="AN52" s="212"/>
      <c r="AP52" s="346" t="s">
        <v>522</v>
      </c>
      <c r="AQ52" s="127"/>
      <c r="AR52" s="379">
        <v>18.09</v>
      </c>
      <c r="AS52" s="379">
        <v>1</v>
      </c>
      <c r="AU52" s="170" t="s">
        <v>547</v>
      </c>
      <c r="AV52" s="127"/>
      <c r="AW52" s="315">
        <v>132.79</v>
      </c>
      <c r="AX52" s="315">
        <v>1</v>
      </c>
    </row>
    <row r="53" spans="2:50" s="94" customFormat="1" ht="12.75">
      <c r="B53" s="170" t="s">
        <v>479</v>
      </c>
      <c r="C53" s="227"/>
      <c r="D53" s="375">
        <v>17.66</v>
      </c>
      <c r="E53" s="375">
        <v>1</v>
      </c>
      <c r="G53" s="170" t="s">
        <v>495</v>
      </c>
      <c r="H53" s="137"/>
      <c r="I53" s="380">
        <v>22.89</v>
      </c>
      <c r="J53" s="380">
        <v>1</v>
      </c>
      <c r="L53" s="170" t="s">
        <v>539</v>
      </c>
      <c r="M53" s="227"/>
      <c r="N53" s="380">
        <v>21.06</v>
      </c>
      <c r="O53" s="380">
        <v>1</v>
      </c>
      <c r="Q53" s="170"/>
      <c r="R53" s="156"/>
      <c r="S53" s="213"/>
      <c r="T53" s="214"/>
      <c r="V53" s="170" t="s">
        <v>501</v>
      </c>
      <c r="W53" s="227"/>
      <c r="X53" s="379">
        <v>14</v>
      </c>
      <c r="Y53" s="379">
        <v>1</v>
      </c>
      <c r="AA53" s="170" t="s">
        <v>298</v>
      </c>
      <c r="AB53" s="137"/>
      <c r="AC53" s="380">
        <v>23.92</v>
      </c>
      <c r="AD53" s="380">
        <v>1</v>
      </c>
      <c r="AF53" s="126" t="s">
        <v>300</v>
      </c>
      <c r="AG53" s="137"/>
      <c r="AH53" s="362">
        <v>28.27</v>
      </c>
      <c r="AI53" s="362">
        <v>1</v>
      </c>
      <c r="AK53" s="170"/>
      <c r="AL53" s="156"/>
      <c r="AM53" s="213"/>
      <c r="AN53" s="214"/>
      <c r="AP53" s="170" t="s">
        <v>523</v>
      </c>
      <c r="AQ53" s="137"/>
      <c r="AR53" s="380">
        <v>21.2</v>
      </c>
      <c r="AS53" s="380">
        <v>1</v>
      </c>
      <c r="AU53" s="170" t="s">
        <v>548</v>
      </c>
      <c r="AV53" s="137"/>
      <c r="AW53" s="286">
        <v>129</v>
      </c>
      <c r="AX53" s="286">
        <v>1</v>
      </c>
    </row>
    <row r="54" spans="2:50" s="94" customFormat="1" ht="12.75">
      <c r="B54" s="170" t="s">
        <v>393</v>
      </c>
      <c r="C54" s="227"/>
      <c r="D54" s="376">
        <v>24.73</v>
      </c>
      <c r="E54" s="376">
        <v>1</v>
      </c>
      <c r="G54" s="170" t="s">
        <v>393</v>
      </c>
      <c r="H54" s="137"/>
      <c r="I54" s="381">
        <v>27.97</v>
      </c>
      <c r="J54" s="381">
        <v>1</v>
      </c>
      <c r="L54" s="170" t="s">
        <v>393</v>
      </c>
      <c r="M54" s="227"/>
      <c r="N54" s="381">
        <v>27.45</v>
      </c>
      <c r="O54" s="381">
        <v>1</v>
      </c>
      <c r="Q54" s="170"/>
      <c r="R54" s="156"/>
      <c r="S54" s="213"/>
      <c r="T54" s="214"/>
      <c r="V54" s="170" t="s">
        <v>502</v>
      </c>
      <c r="W54" s="227"/>
      <c r="X54" s="380">
        <v>16</v>
      </c>
      <c r="Y54" s="380">
        <v>1</v>
      </c>
      <c r="AA54" s="170" t="s">
        <v>513</v>
      </c>
      <c r="AB54" s="137"/>
      <c r="AC54" s="381">
        <v>27.49</v>
      </c>
      <c r="AD54" s="381">
        <v>1</v>
      </c>
      <c r="AF54" s="126" t="s">
        <v>308</v>
      </c>
      <c r="AG54" s="137"/>
      <c r="AH54" s="362">
        <v>29.19</v>
      </c>
      <c r="AI54" s="362">
        <v>1</v>
      </c>
      <c r="AK54" s="170"/>
      <c r="AL54" s="156"/>
      <c r="AM54" s="213"/>
      <c r="AN54" s="214"/>
      <c r="AP54" s="170" t="s">
        <v>524</v>
      </c>
      <c r="AQ54" s="137"/>
      <c r="AR54" s="381">
        <v>24.49</v>
      </c>
      <c r="AS54" s="381">
        <v>1</v>
      </c>
      <c r="AU54" s="170" t="s">
        <v>549</v>
      </c>
      <c r="AV54" s="137"/>
      <c r="AW54" s="286">
        <v>547.54</v>
      </c>
      <c r="AX54" s="286">
        <v>1</v>
      </c>
    </row>
    <row r="55" spans="2:50" s="94" customFormat="1" ht="12.75">
      <c r="B55" s="170" t="s">
        <v>392</v>
      </c>
      <c r="C55" s="227"/>
      <c r="D55" s="376">
        <v>24.73</v>
      </c>
      <c r="E55" s="376">
        <v>1</v>
      </c>
      <c r="G55" s="170" t="s">
        <v>392</v>
      </c>
      <c r="H55" s="137"/>
      <c r="I55" s="381">
        <v>29.66</v>
      </c>
      <c r="J55" s="381">
        <v>1</v>
      </c>
      <c r="L55" s="170" t="s">
        <v>540</v>
      </c>
      <c r="M55" s="227"/>
      <c r="N55" s="381">
        <v>27.45</v>
      </c>
      <c r="O55" s="381">
        <v>1</v>
      </c>
      <c r="Q55" s="170"/>
      <c r="R55" s="156"/>
      <c r="S55" s="213"/>
      <c r="T55" s="214"/>
      <c r="V55" s="170" t="s">
        <v>503</v>
      </c>
      <c r="W55" s="227"/>
      <c r="X55" s="380">
        <v>16</v>
      </c>
      <c r="Y55" s="380">
        <v>1</v>
      </c>
      <c r="AA55" s="170" t="s">
        <v>514</v>
      </c>
      <c r="AB55" s="137"/>
      <c r="AC55" s="381">
        <v>48.01</v>
      </c>
      <c r="AD55" s="381">
        <v>1</v>
      </c>
      <c r="AF55" s="126" t="s">
        <v>315</v>
      </c>
      <c r="AG55" s="137"/>
      <c r="AH55" s="363">
        <v>38.63</v>
      </c>
      <c r="AI55" s="363">
        <v>1</v>
      </c>
      <c r="AK55" s="170"/>
      <c r="AL55" s="156"/>
      <c r="AM55" s="213"/>
      <c r="AN55" s="214"/>
      <c r="AP55" s="170" t="s">
        <v>525</v>
      </c>
      <c r="AQ55" s="137"/>
      <c r="AR55" s="381">
        <v>24.49</v>
      </c>
      <c r="AS55" s="381">
        <v>1</v>
      </c>
      <c r="AU55" s="170" t="s">
        <v>550</v>
      </c>
      <c r="AV55" s="137"/>
      <c r="AW55" s="286">
        <v>318.72</v>
      </c>
      <c r="AX55" s="286">
        <v>1</v>
      </c>
    </row>
    <row r="56" spans="2:50" s="94" customFormat="1" ht="12.75">
      <c r="B56" s="170" t="s">
        <v>480</v>
      </c>
      <c r="C56" s="227"/>
      <c r="D56" s="376">
        <v>24.73</v>
      </c>
      <c r="E56" s="376">
        <v>1</v>
      </c>
      <c r="G56" s="170" t="s">
        <v>480</v>
      </c>
      <c r="H56" s="137"/>
      <c r="I56" s="381">
        <v>29.66</v>
      </c>
      <c r="J56" s="381">
        <v>1</v>
      </c>
      <c r="L56" s="170" t="s">
        <v>541</v>
      </c>
      <c r="M56" s="227"/>
      <c r="N56" s="381">
        <v>32.58</v>
      </c>
      <c r="O56" s="381">
        <v>1</v>
      </c>
      <c r="Q56" s="170"/>
      <c r="R56" s="156"/>
      <c r="S56" s="213"/>
      <c r="T56" s="214"/>
      <c r="V56" s="170" t="s">
        <v>504</v>
      </c>
      <c r="W56" s="227"/>
      <c r="X56" s="381">
        <v>16</v>
      </c>
      <c r="Y56" s="381">
        <v>1</v>
      </c>
      <c r="AA56" s="170" t="s">
        <v>515</v>
      </c>
      <c r="AB56" s="137"/>
      <c r="AC56" s="382">
        <v>48.01</v>
      </c>
      <c r="AD56" s="382">
        <v>1</v>
      </c>
      <c r="AF56" s="126" t="s">
        <v>324</v>
      </c>
      <c r="AG56" s="137"/>
      <c r="AH56" s="363">
        <v>47.82</v>
      </c>
      <c r="AI56" s="363">
        <v>1</v>
      </c>
      <c r="AK56" s="170"/>
      <c r="AL56" s="156"/>
      <c r="AM56" s="213"/>
      <c r="AN56" s="214"/>
      <c r="AP56" s="170" t="s">
        <v>526</v>
      </c>
      <c r="AQ56" s="137"/>
      <c r="AR56" s="381">
        <v>27.66</v>
      </c>
      <c r="AS56" s="381">
        <v>1</v>
      </c>
      <c r="AU56" s="170" t="s">
        <v>551</v>
      </c>
      <c r="AV56" s="137"/>
      <c r="AW56" s="286">
        <v>301.85</v>
      </c>
      <c r="AX56" s="286">
        <v>1</v>
      </c>
    </row>
    <row r="57" spans="2:50" s="94" customFormat="1" ht="12.75">
      <c r="B57" s="170" t="s">
        <v>481</v>
      </c>
      <c r="C57" s="227"/>
      <c r="D57" s="376">
        <v>24.73</v>
      </c>
      <c r="E57" s="376">
        <v>1</v>
      </c>
      <c r="G57" s="170" t="s">
        <v>481</v>
      </c>
      <c r="H57" s="137"/>
      <c r="I57" s="381">
        <v>29.66</v>
      </c>
      <c r="J57" s="381">
        <v>1</v>
      </c>
      <c r="L57" s="170" t="s">
        <v>542</v>
      </c>
      <c r="M57" s="227"/>
      <c r="N57" s="382">
        <v>45.92</v>
      </c>
      <c r="O57" s="382">
        <v>1</v>
      </c>
      <c r="Q57" s="170"/>
      <c r="R57" s="156"/>
      <c r="S57" s="213"/>
      <c r="T57" s="214"/>
      <c r="V57" s="170" t="s">
        <v>505</v>
      </c>
      <c r="W57" s="227"/>
      <c r="X57" s="381">
        <v>16</v>
      </c>
      <c r="Y57" s="381">
        <v>1</v>
      </c>
      <c r="AA57" s="170" t="s">
        <v>516</v>
      </c>
      <c r="AB57" s="137"/>
      <c r="AC57" s="382">
        <v>52.49</v>
      </c>
      <c r="AD57" s="382">
        <v>1</v>
      </c>
      <c r="AF57" s="126" t="s">
        <v>334</v>
      </c>
      <c r="AG57" s="137"/>
      <c r="AH57" s="364">
        <v>103.93</v>
      </c>
      <c r="AI57" s="364">
        <v>1</v>
      </c>
      <c r="AK57" s="170"/>
      <c r="AL57" s="156"/>
      <c r="AM57" s="213"/>
      <c r="AN57" s="214"/>
      <c r="AP57" s="170" t="s">
        <v>527</v>
      </c>
      <c r="AQ57" s="137"/>
      <c r="AR57" s="381">
        <v>27.66</v>
      </c>
      <c r="AS57" s="381">
        <v>1</v>
      </c>
      <c r="AU57" s="170" t="s">
        <v>552</v>
      </c>
      <c r="AV57" s="137"/>
      <c r="AW57" s="287">
        <v>143</v>
      </c>
      <c r="AX57" s="287">
        <v>1</v>
      </c>
    </row>
    <row r="58" spans="2:50" s="94" customFormat="1" ht="12.75">
      <c r="B58" s="170" t="s">
        <v>482</v>
      </c>
      <c r="C58" s="227"/>
      <c r="D58" s="377">
        <v>31.77</v>
      </c>
      <c r="E58" s="377">
        <v>1</v>
      </c>
      <c r="G58" s="170" t="s">
        <v>496</v>
      </c>
      <c r="H58" s="137"/>
      <c r="I58" s="382">
        <v>44.09</v>
      </c>
      <c r="J58" s="382">
        <v>1</v>
      </c>
      <c r="L58" s="170" t="s">
        <v>543</v>
      </c>
      <c r="M58" s="227"/>
      <c r="N58" s="382">
        <v>47.17</v>
      </c>
      <c r="O58" s="382">
        <v>1</v>
      </c>
      <c r="Q58" s="170"/>
      <c r="R58" s="156"/>
      <c r="S58" s="213"/>
      <c r="T58" s="214"/>
      <c r="V58" s="170" t="s">
        <v>480</v>
      </c>
      <c r="W58" s="227"/>
      <c r="X58" s="381">
        <v>21</v>
      </c>
      <c r="Y58" s="381">
        <v>1</v>
      </c>
      <c r="AA58" s="170" t="s">
        <v>517</v>
      </c>
      <c r="AB58" s="137"/>
      <c r="AC58" s="383">
        <v>90.3</v>
      </c>
      <c r="AD58" s="383">
        <v>1</v>
      </c>
      <c r="AF58" s="126" t="s">
        <v>343</v>
      </c>
      <c r="AG58" s="156"/>
      <c r="AH58" s="364">
        <v>103.93</v>
      </c>
      <c r="AI58" s="364">
        <v>1</v>
      </c>
      <c r="AK58" s="170"/>
      <c r="AL58" s="156"/>
      <c r="AM58" s="213"/>
      <c r="AN58" s="214"/>
      <c r="AP58" s="170" t="s">
        <v>528</v>
      </c>
      <c r="AQ58" s="137"/>
      <c r="AR58" s="382">
        <v>31.95</v>
      </c>
      <c r="AS58" s="382">
        <v>1</v>
      </c>
      <c r="AU58" s="170" t="s">
        <v>553</v>
      </c>
      <c r="AV58" s="137"/>
      <c r="AW58" s="287">
        <v>143</v>
      </c>
      <c r="AX58" s="287">
        <v>1</v>
      </c>
    </row>
    <row r="59" spans="2:50" s="94" customFormat="1" ht="12.75">
      <c r="B59" s="170" t="s">
        <v>483</v>
      </c>
      <c r="C59" s="227"/>
      <c r="D59" s="377">
        <v>31.77</v>
      </c>
      <c r="E59" s="377">
        <v>1</v>
      </c>
      <c r="G59" s="170" t="s">
        <v>497</v>
      </c>
      <c r="H59" s="137"/>
      <c r="I59" s="383">
        <v>84.79</v>
      </c>
      <c r="J59" s="383">
        <v>1</v>
      </c>
      <c r="L59" s="170" t="s">
        <v>544</v>
      </c>
      <c r="M59" s="92"/>
      <c r="N59" s="383">
        <v>81.81</v>
      </c>
      <c r="O59" s="383">
        <v>1</v>
      </c>
      <c r="Q59" s="170"/>
      <c r="R59" s="156"/>
      <c r="S59" s="213"/>
      <c r="T59" s="214"/>
      <c r="V59" s="170" t="s">
        <v>481</v>
      </c>
      <c r="W59" s="227"/>
      <c r="X59" s="381">
        <v>21</v>
      </c>
      <c r="Y59" s="381">
        <v>1</v>
      </c>
      <c r="AA59" s="170" t="s">
        <v>518</v>
      </c>
      <c r="AB59" s="137"/>
      <c r="AC59" s="383">
        <v>90.3</v>
      </c>
      <c r="AD59" s="383">
        <v>1</v>
      </c>
      <c r="AF59" s="126" t="s">
        <v>415</v>
      </c>
      <c r="AG59" s="137"/>
      <c r="AH59" s="364">
        <v>103.93</v>
      </c>
      <c r="AI59" s="364">
        <v>1</v>
      </c>
      <c r="AK59" s="170"/>
      <c r="AL59" s="156"/>
      <c r="AM59" s="213"/>
      <c r="AN59" s="214"/>
      <c r="AP59" s="170" t="s">
        <v>529</v>
      </c>
      <c r="AQ59" s="137"/>
      <c r="AR59" s="382">
        <v>31.95</v>
      </c>
      <c r="AS59" s="382">
        <v>1</v>
      </c>
      <c r="AU59" s="170" t="s">
        <v>554</v>
      </c>
      <c r="AV59" s="137"/>
      <c r="AW59" s="287">
        <v>107.26</v>
      </c>
      <c r="AX59" s="287">
        <v>1</v>
      </c>
    </row>
    <row r="60" spans="2:50" s="94" customFormat="1" ht="12.75">
      <c r="B60" s="170" t="s">
        <v>484</v>
      </c>
      <c r="C60" s="227"/>
      <c r="D60" s="377">
        <v>38.86</v>
      </c>
      <c r="E60" s="377">
        <v>1</v>
      </c>
      <c r="G60" s="170" t="s">
        <v>498</v>
      </c>
      <c r="H60" s="137"/>
      <c r="I60" s="383">
        <v>84.79</v>
      </c>
      <c r="J60" s="383">
        <v>1</v>
      </c>
      <c r="L60" s="170" t="s">
        <v>545</v>
      </c>
      <c r="M60" s="96"/>
      <c r="N60" s="383">
        <v>98.63</v>
      </c>
      <c r="O60" s="383">
        <v>1</v>
      </c>
      <c r="Q60" s="170"/>
      <c r="R60" s="156"/>
      <c r="S60" s="213"/>
      <c r="T60" s="214"/>
      <c r="V60" s="170" t="s">
        <v>506</v>
      </c>
      <c r="W60" s="227"/>
      <c r="X60" s="382">
        <v>26</v>
      </c>
      <c r="Y60" s="382">
        <v>1</v>
      </c>
      <c r="AA60" s="170" t="s">
        <v>519</v>
      </c>
      <c r="AB60" s="137"/>
      <c r="AC60" s="383">
        <v>90.3</v>
      </c>
      <c r="AD60" s="383">
        <v>1</v>
      </c>
      <c r="AF60" s="126" t="s">
        <v>361</v>
      </c>
      <c r="AG60" s="137"/>
      <c r="AH60" s="365">
        <v>103.93</v>
      </c>
      <c r="AI60" s="365">
        <v>1</v>
      </c>
      <c r="AK60" s="170"/>
      <c r="AL60" s="156"/>
      <c r="AM60" s="213"/>
      <c r="AN60" s="214"/>
      <c r="AP60" s="170" t="s">
        <v>530</v>
      </c>
      <c r="AQ60" s="137"/>
      <c r="AR60" s="382">
        <v>37.29</v>
      </c>
      <c r="AS60" s="382">
        <v>1</v>
      </c>
      <c r="AU60" s="170" t="s">
        <v>555</v>
      </c>
      <c r="AV60" s="137"/>
      <c r="AW60" s="287">
        <v>68.99</v>
      </c>
      <c r="AX60" s="287">
        <v>1</v>
      </c>
    </row>
    <row r="61" spans="2:50" s="94" customFormat="1" ht="12.75">
      <c r="B61" s="170" t="s">
        <v>485</v>
      </c>
      <c r="C61" s="227"/>
      <c r="D61" s="377">
        <v>38.86</v>
      </c>
      <c r="E61" s="377">
        <v>1</v>
      </c>
      <c r="G61" s="170" t="s">
        <v>499</v>
      </c>
      <c r="H61" s="137"/>
      <c r="I61" s="384">
        <v>84.79</v>
      </c>
      <c r="J61" s="384">
        <v>1</v>
      </c>
      <c r="L61" s="170" t="s">
        <v>546</v>
      </c>
      <c r="M61" s="96"/>
      <c r="N61" s="383">
        <v>103.99</v>
      </c>
      <c r="O61" s="383">
        <v>1</v>
      </c>
      <c r="Q61" s="170"/>
      <c r="R61" s="156"/>
      <c r="S61" s="213"/>
      <c r="T61" s="214"/>
      <c r="V61" s="170" t="s">
        <v>507</v>
      </c>
      <c r="W61" s="227"/>
      <c r="X61" s="382">
        <v>26</v>
      </c>
      <c r="Y61" s="382">
        <v>1</v>
      </c>
      <c r="AA61" s="170" t="s">
        <v>520</v>
      </c>
      <c r="AB61" s="137"/>
      <c r="AC61" s="384">
        <v>132.67</v>
      </c>
      <c r="AD61" s="384">
        <v>1</v>
      </c>
      <c r="AF61" s="126" t="s">
        <v>370</v>
      </c>
      <c r="AG61" s="137"/>
      <c r="AH61" s="365">
        <v>173.83</v>
      </c>
      <c r="AI61" s="365">
        <v>1</v>
      </c>
      <c r="AK61" s="170"/>
      <c r="AL61" s="156"/>
      <c r="AM61" s="213"/>
      <c r="AN61" s="214"/>
      <c r="AP61" s="170" t="s">
        <v>531</v>
      </c>
      <c r="AQ61" s="137"/>
      <c r="AR61" s="382">
        <v>37.29</v>
      </c>
      <c r="AS61" s="382">
        <v>1</v>
      </c>
      <c r="AU61" s="170" t="s">
        <v>556</v>
      </c>
      <c r="AV61" s="137"/>
      <c r="AW61" s="287">
        <v>59.07</v>
      </c>
      <c r="AX61" s="287">
        <v>1</v>
      </c>
    </row>
    <row r="62" spans="2:50" s="94" customFormat="1" ht="12.75">
      <c r="B62" s="170" t="s">
        <v>486</v>
      </c>
      <c r="C62" s="227"/>
      <c r="D62" s="377">
        <v>63.58</v>
      </c>
      <c r="E62" s="377">
        <v>1</v>
      </c>
      <c r="G62" s="170" t="s">
        <v>500</v>
      </c>
      <c r="H62" s="137"/>
      <c r="I62" s="384">
        <v>133.98</v>
      </c>
      <c r="J62" s="384">
        <v>1</v>
      </c>
      <c r="L62" s="170" t="s">
        <v>330</v>
      </c>
      <c r="M62" s="96"/>
      <c r="N62" s="384">
        <v>139.91</v>
      </c>
      <c r="O62" s="384">
        <v>1</v>
      </c>
      <c r="Q62" s="170"/>
      <c r="R62" s="156"/>
      <c r="S62" s="213"/>
      <c r="T62" s="214"/>
      <c r="V62" s="170" t="s">
        <v>508</v>
      </c>
      <c r="W62" s="227"/>
      <c r="X62" s="383">
        <v>60</v>
      </c>
      <c r="Y62" s="383">
        <v>1</v>
      </c>
      <c r="AA62" s="170" t="s">
        <v>521</v>
      </c>
      <c r="AB62" s="137"/>
      <c r="AC62" s="384">
        <v>180.15</v>
      </c>
      <c r="AD62" s="384">
        <v>1</v>
      </c>
      <c r="AF62" s="126" t="s">
        <v>379</v>
      </c>
      <c r="AG62" s="137"/>
      <c r="AH62" s="367">
        <v>16.35</v>
      </c>
      <c r="AI62" s="367">
        <v>1</v>
      </c>
      <c r="AK62" s="170"/>
      <c r="AL62" s="156"/>
      <c r="AM62" s="213"/>
      <c r="AN62" s="214"/>
      <c r="AP62" s="170" t="s">
        <v>532</v>
      </c>
      <c r="AQ62" s="137"/>
      <c r="AR62" s="382">
        <v>53.21</v>
      </c>
      <c r="AS62" s="382">
        <v>1</v>
      </c>
      <c r="AU62" s="170" t="s">
        <v>557</v>
      </c>
      <c r="AV62" s="137"/>
      <c r="AW62" s="287">
        <v>35.75</v>
      </c>
      <c r="AX62" s="287">
        <v>1</v>
      </c>
    </row>
    <row r="63" spans="2:50" s="94" customFormat="1" ht="12.75">
      <c r="B63" s="170" t="s">
        <v>487</v>
      </c>
      <c r="C63" s="227"/>
      <c r="D63" s="377">
        <v>135.55</v>
      </c>
      <c r="E63" s="377">
        <v>1</v>
      </c>
      <c r="G63" s="157"/>
      <c r="H63" s="158"/>
      <c r="I63" s="159"/>
      <c r="J63" s="291"/>
      <c r="L63" s="256" t="s">
        <v>340</v>
      </c>
      <c r="M63" s="195"/>
      <c r="N63" s="384">
        <v>159.46</v>
      </c>
      <c r="O63" s="384">
        <v>1</v>
      </c>
      <c r="Q63" s="170"/>
      <c r="R63" s="156"/>
      <c r="S63" s="213"/>
      <c r="T63" s="214"/>
      <c r="V63" s="170" t="s">
        <v>509</v>
      </c>
      <c r="W63" s="227"/>
      <c r="X63" s="383">
        <v>60</v>
      </c>
      <c r="Y63" s="383">
        <v>1</v>
      </c>
      <c r="AA63" s="157"/>
      <c r="AB63" s="158"/>
      <c r="AC63" s="159"/>
      <c r="AD63" s="299"/>
      <c r="AF63" s="157"/>
      <c r="AG63" s="158"/>
      <c r="AH63" s="168"/>
      <c r="AI63" s="291"/>
      <c r="AK63" s="170"/>
      <c r="AL63" s="156"/>
      <c r="AM63" s="213"/>
      <c r="AN63" s="214"/>
      <c r="AP63" s="170" t="s">
        <v>533</v>
      </c>
      <c r="AQ63" s="137"/>
      <c r="AR63" s="383">
        <v>101.24</v>
      </c>
      <c r="AS63" s="383">
        <v>1</v>
      </c>
      <c r="AU63" s="170" t="s">
        <v>481</v>
      </c>
      <c r="AV63" s="137"/>
      <c r="AW63" s="288">
        <v>30.64</v>
      </c>
      <c r="AX63" s="288">
        <v>1</v>
      </c>
    </row>
    <row r="64" spans="2:50" s="94" customFormat="1" ht="12.75">
      <c r="B64" s="170" t="s">
        <v>488</v>
      </c>
      <c r="C64" s="92"/>
      <c r="D64" s="377">
        <v>150.75</v>
      </c>
      <c r="E64" s="377">
        <v>1</v>
      </c>
      <c r="L64" s="181"/>
      <c r="M64" s="182"/>
      <c r="N64" s="240"/>
      <c r="O64" s="355"/>
      <c r="Q64" s="157"/>
      <c r="R64" s="158"/>
      <c r="S64" s="159"/>
      <c r="T64" s="160"/>
      <c r="V64" s="170" t="s">
        <v>510</v>
      </c>
      <c r="W64" s="227"/>
      <c r="X64" s="384">
        <v>109</v>
      </c>
      <c r="Y64" s="384">
        <v>1</v>
      </c>
      <c r="AK64" s="157"/>
      <c r="AL64" s="158"/>
      <c r="AM64" s="159"/>
      <c r="AN64" s="160"/>
      <c r="AP64" s="170" t="s">
        <v>534</v>
      </c>
      <c r="AQ64" s="156"/>
      <c r="AR64" s="383">
        <v>101.24</v>
      </c>
      <c r="AS64" s="383">
        <v>1</v>
      </c>
      <c r="AU64" s="170" t="s">
        <v>480</v>
      </c>
      <c r="AV64" s="156"/>
      <c r="AW64" s="288">
        <v>30.64</v>
      </c>
      <c r="AX64" s="288">
        <v>1</v>
      </c>
    </row>
    <row r="65" spans="2:50" ht="12.75">
      <c r="B65" s="170" t="s">
        <v>489</v>
      </c>
      <c r="C65" s="244"/>
      <c r="D65" s="378">
        <v>150.75</v>
      </c>
      <c r="E65" s="378">
        <v>1</v>
      </c>
      <c r="V65" s="170" t="s">
        <v>511</v>
      </c>
      <c r="W65" s="92"/>
      <c r="X65" s="384">
        <v>128</v>
      </c>
      <c r="Y65" s="384">
        <v>1</v>
      </c>
      <c r="AP65" s="170" t="s">
        <v>535</v>
      </c>
      <c r="AQ65" s="351"/>
      <c r="AR65" s="383">
        <v>101.24</v>
      </c>
      <c r="AS65" s="383">
        <v>1</v>
      </c>
      <c r="AU65" s="170" t="s">
        <v>392</v>
      </c>
      <c r="AV65" s="156"/>
      <c r="AW65" s="288">
        <v>30.64</v>
      </c>
      <c r="AX65" s="288">
        <v>1</v>
      </c>
    </row>
    <row r="66" spans="2:50" ht="12.75">
      <c r="B66" s="170" t="s">
        <v>490</v>
      </c>
      <c r="C66" s="244"/>
      <c r="D66" s="378">
        <v>150.75</v>
      </c>
      <c r="E66" s="378">
        <v>1</v>
      </c>
      <c r="V66" s="247"/>
      <c r="W66" s="248"/>
      <c r="X66" s="249"/>
      <c r="Y66" s="250"/>
      <c r="AA66" s="203"/>
      <c r="AP66" s="170" t="s">
        <v>536</v>
      </c>
      <c r="AQ66" s="351"/>
      <c r="AR66" s="384">
        <v>177.1</v>
      </c>
      <c r="AS66" s="384">
        <v>1</v>
      </c>
      <c r="AU66" s="170" t="s">
        <v>393</v>
      </c>
      <c r="AV66" s="156"/>
      <c r="AW66" s="288">
        <v>25.53</v>
      </c>
      <c r="AX66" s="288">
        <v>1</v>
      </c>
    </row>
    <row r="67" spans="2:50" ht="12.75">
      <c r="B67" s="256" t="s">
        <v>491</v>
      </c>
      <c r="C67" s="245"/>
      <c r="D67" s="378">
        <v>150.75</v>
      </c>
      <c r="E67" s="378">
        <v>1</v>
      </c>
      <c r="AP67" s="170" t="s">
        <v>537</v>
      </c>
      <c r="AQ67" s="351"/>
      <c r="AR67" s="384">
        <v>224.76</v>
      </c>
      <c r="AS67" s="384">
        <v>1</v>
      </c>
      <c r="AU67" s="170" t="s">
        <v>295</v>
      </c>
      <c r="AV67" s="156"/>
      <c r="AW67" s="289">
        <v>25.53</v>
      </c>
      <c r="AX67" s="289">
        <v>1</v>
      </c>
    </row>
    <row r="68" spans="2:50" ht="12.75">
      <c r="B68" s="247"/>
      <c r="C68" s="248"/>
      <c r="D68" s="249"/>
      <c r="E68" s="348"/>
      <c r="AP68" s="352"/>
      <c r="AQ68" s="353"/>
      <c r="AR68" s="354"/>
      <c r="AS68" s="359"/>
      <c r="AU68" s="170" t="s">
        <v>558</v>
      </c>
      <c r="AV68" s="156"/>
      <c r="AW68" s="292">
        <v>17.67</v>
      </c>
      <c r="AX68" s="292">
        <v>1</v>
      </c>
    </row>
    <row r="69" spans="47:50" ht="12.75">
      <c r="AU69" s="157"/>
      <c r="AV69" s="158"/>
      <c r="AW69" s="159"/>
      <c r="AX69" s="291"/>
    </row>
    <row r="70" spans="2:50" s="94" customFormat="1" ht="12.75">
      <c r="B70" s="217" t="s">
        <v>451</v>
      </c>
      <c r="C70" s="182"/>
      <c r="D70" s="219">
        <f>SUMPRODUCT(D52:D68,E52:E68)</f>
        <v>1077.33</v>
      </c>
      <c r="G70" s="217" t="s">
        <v>451</v>
      </c>
      <c r="H70" s="182"/>
      <c r="I70" s="219">
        <f>SUMPRODUCT(I52:I68,J52:J68)</f>
        <v>586.35</v>
      </c>
      <c r="L70" s="217" t="s">
        <v>451</v>
      </c>
      <c r="M70" s="182"/>
      <c r="N70" s="219">
        <f>SUMPRODUCT(N52:N68,O52:O68)</f>
        <v>800.6600000000001</v>
      </c>
      <c r="Q70" s="217" t="s">
        <v>451</v>
      </c>
      <c r="R70" s="182"/>
      <c r="S70" s="219">
        <f>SUMPRODUCT(S52:S68,T52:T68)</f>
        <v>0</v>
      </c>
      <c r="V70" s="217" t="s">
        <v>451</v>
      </c>
      <c r="W70" s="182"/>
      <c r="X70" s="219">
        <f>SUMPRODUCT(X53:X68,Y53:Y68)</f>
        <v>529</v>
      </c>
      <c r="AA70" s="217" t="s">
        <v>451</v>
      </c>
      <c r="AB70" s="182"/>
      <c r="AC70" s="219">
        <f>SUMPRODUCT(AC52:AC68,AD52:AD68)</f>
        <v>806.68</v>
      </c>
      <c r="AF70" s="217" t="s">
        <v>451</v>
      </c>
      <c r="AG70" s="182"/>
      <c r="AH70" s="219">
        <f>SUMPRODUCT(AH52:AH68,AI52:AI68)</f>
        <v>771.4100000000001</v>
      </c>
      <c r="AK70" s="217" t="s">
        <v>451</v>
      </c>
      <c r="AL70" s="182"/>
      <c r="AM70" s="219">
        <f>SUMPRODUCT(AM52:AM68,AN52:AN68)</f>
        <v>0</v>
      </c>
      <c r="AP70" s="217" t="s">
        <v>451</v>
      </c>
      <c r="AQ70" s="182"/>
      <c r="AR70" s="219">
        <f>SUMPRODUCT(AR52:AR68,AS52:AS68)</f>
        <v>1040.8600000000001</v>
      </c>
      <c r="AU70" s="217" t="s">
        <v>451</v>
      </c>
      <c r="AV70" s="182"/>
      <c r="AW70" s="219">
        <f>SUMPRODUCT(AW52:AW68,AX52:AX68)</f>
        <v>2147.6200000000003</v>
      </c>
      <c r="AX70" s="91"/>
    </row>
    <row r="72" spans="1:12" s="199" customFormat="1" ht="12.75">
      <c r="A72" s="199" t="s">
        <v>493</v>
      </c>
      <c r="B72" s="83"/>
      <c r="C72" s="200"/>
      <c r="D72" s="200"/>
      <c r="E72" s="200"/>
      <c r="F72" s="200"/>
      <c r="G72" s="200"/>
      <c r="H72" s="200"/>
      <c r="I72" s="200"/>
      <c r="J72" s="200"/>
      <c r="K72" s="200"/>
      <c r="L72" s="200"/>
    </row>
    <row r="73" s="94" customFormat="1" ht="12.75"/>
    <row r="74" spans="2:47" s="94" customFormat="1" ht="12.75">
      <c r="B74" s="171" t="s">
        <v>146</v>
      </c>
      <c r="G74" s="171" t="s">
        <v>29</v>
      </c>
      <c r="L74" s="171" t="s">
        <v>147</v>
      </c>
      <c r="Q74" s="171" t="s">
        <v>288</v>
      </c>
      <c r="V74" s="171" t="s">
        <v>148</v>
      </c>
      <c r="AA74" s="171" t="s">
        <v>149</v>
      </c>
      <c r="AF74" s="171" t="s">
        <v>150</v>
      </c>
      <c r="AK74" s="121" t="s">
        <v>195</v>
      </c>
      <c r="AL74" s="86"/>
      <c r="AM74" s="86"/>
      <c r="AN74" s="86"/>
      <c r="AP74" s="171" t="s">
        <v>151</v>
      </c>
      <c r="AU74" s="171" t="s">
        <v>30</v>
      </c>
    </row>
    <row r="75" spans="2:50" s="94" customFormat="1" ht="12.75">
      <c r="B75" s="124" t="s">
        <v>492</v>
      </c>
      <c r="C75" s="182"/>
      <c r="D75" s="183" t="s">
        <v>402</v>
      </c>
      <c r="E75" s="184" t="s">
        <v>403</v>
      </c>
      <c r="G75" s="124" t="s">
        <v>492</v>
      </c>
      <c r="H75" s="182"/>
      <c r="I75" s="183" t="s">
        <v>402</v>
      </c>
      <c r="J75" s="184" t="s">
        <v>403</v>
      </c>
      <c r="L75" s="124" t="s">
        <v>492</v>
      </c>
      <c r="M75" s="182"/>
      <c r="N75" s="183" t="s">
        <v>402</v>
      </c>
      <c r="O75" s="184" t="s">
        <v>403</v>
      </c>
      <c r="Q75" s="316"/>
      <c r="R75" s="220"/>
      <c r="S75" s="269"/>
      <c r="T75" s="270"/>
      <c r="V75" s="124" t="s">
        <v>492</v>
      </c>
      <c r="W75" s="182"/>
      <c r="X75" s="183" t="s">
        <v>402</v>
      </c>
      <c r="Y75" s="184" t="s">
        <v>403</v>
      </c>
      <c r="AA75" s="124" t="s">
        <v>492</v>
      </c>
      <c r="AB75" s="182"/>
      <c r="AC75" s="183" t="s">
        <v>402</v>
      </c>
      <c r="AD75" s="184" t="s">
        <v>403</v>
      </c>
      <c r="AF75" s="124" t="s">
        <v>492</v>
      </c>
      <c r="AG75" s="182"/>
      <c r="AH75" s="183" t="s">
        <v>402</v>
      </c>
      <c r="AI75" s="184" t="s">
        <v>403</v>
      </c>
      <c r="AK75" s="316"/>
      <c r="AL75" s="220"/>
      <c r="AM75" s="269"/>
      <c r="AN75" s="270"/>
      <c r="AP75" s="124" t="s">
        <v>492</v>
      </c>
      <c r="AQ75" s="182"/>
      <c r="AR75" s="183" t="s">
        <v>402</v>
      </c>
      <c r="AS75" s="184" t="s">
        <v>403</v>
      </c>
      <c r="AU75" s="124" t="s">
        <v>492</v>
      </c>
      <c r="AV75" s="182"/>
      <c r="AW75" s="183" t="s">
        <v>402</v>
      </c>
      <c r="AX75" s="184" t="s">
        <v>403</v>
      </c>
    </row>
    <row r="76" spans="2:50" s="94" customFormat="1" ht="12.75">
      <c r="B76" s="175" t="s">
        <v>404</v>
      </c>
      <c r="C76" s="96"/>
      <c r="D76" s="386">
        <f>D52</f>
        <v>17.36</v>
      </c>
      <c r="E76" s="387">
        <f>E52</f>
        <v>1</v>
      </c>
      <c r="G76" s="175" t="s">
        <v>404</v>
      </c>
      <c r="H76" s="96"/>
      <c r="I76" s="386">
        <f>I52</f>
        <v>14.07</v>
      </c>
      <c r="J76" s="387">
        <f>J52</f>
        <v>1</v>
      </c>
      <c r="L76" s="175" t="s">
        <v>404</v>
      </c>
      <c r="M76" s="96"/>
      <c r="N76" s="386">
        <f>N52</f>
        <v>15.23</v>
      </c>
      <c r="O76" s="387">
        <f>O52</f>
        <v>1</v>
      </c>
      <c r="Q76" s="317"/>
      <c r="R76" s="31"/>
      <c r="S76" s="271"/>
      <c r="T76" s="272"/>
      <c r="V76" s="175" t="s">
        <v>404</v>
      </c>
      <c r="W76" s="96"/>
      <c r="X76" s="386">
        <f>X53</f>
        <v>14</v>
      </c>
      <c r="Y76" s="387">
        <f>Y53</f>
        <v>1</v>
      </c>
      <c r="AA76" s="175" t="s">
        <v>404</v>
      </c>
      <c r="AB76" s="96"/>
      <c r="AC76" s="386">
        <f>AC52</f>
        <v>23.04</v>
      </c>
      <c r="AD76" s="387">
        <f>AD52</f>
        <v>1</v>
      </c>
      <c r="AF76" s="175" t="s">
        <v>404</v>
      </c>
      <c r="AG76" s="96"/>
      <c r="AH76" s="386">
        <f>AH62</f>
        <v>16.35</v>
      </c>
      <c r="AI76" s="387">
        <f>AI62</f>
        <v>1</v>
      </c>
      <c r="AK76" s="317"/>
      <c r="AL76" s="31"/>
      <c r="AM76" s="271"/>
      <c r="AN76" s="272"/>
      <c r="AP76" s="175" t="s">
        <v>404</v>
      </c>
      <c r="AQ76" s="96"/>
      <c r="AR76" s="386">
        <f>AR52</f>
        <v>18.09</v>
      </c>
      <c r="AS76" s="387">
        <f>AS52</f>
        <v>1</v>
      </c>
      <c r="AU76" s="175" t="s">
        <v>404</v>
      </c>
      <c r="AV76" s="96"/>
      <c r="AW76" s="386">
        <f>AW68</f>
        <v>17.67</v>
      </c>
      <c r="AX76" s="387">
        <f>AX68</f>
        <v>1</v>
      </c>
    </row>
    <row r="77" spans="2:50" s="94" customFormat="1" ht="12.75">
      <c r="B77" s="175" t="s">
        <v>405</v>
      </c>
      <c r="C77" s="96"/>
      <c r="D77" s="388">
        <f>D53</f>
        <v>17.66</v>
      </c>
      <c r="E77" s="389">
        <f>E53</f>
        <v>1</v>
      </c>
      <c r="G77" s="175" t="s">
        <v>405</v>
      </c>
      <c r="H77" s="96"/>
      <c r="I77" s="388">
        <f>I53</f>
        <v>22.89</v>
      </c>
      <c r="J77" s="389">
        <f>J53</f>
        <v>1</v>
      </c>
      <c r="L77" s="175" t="s">
        <v>405</v>
      </c>
      <c r="M77" s="96"/>
      <c r="N77" s="388">
        <f>N53</f>
        <v>21.06</v>
      </c>
      <c r="O77" s="389">
        <f>O53</f>
        <v>1</v>
      </c>
      <c r="Q77" s="317"/>
      <c r="R77" s="31"/>
      <c r="S77" s="273"/>
      <c r="T77" s="274"/>
      <c r="V77" s="175" t="s">
        <v>405</v>
      </c>
      <c r="W77" s="96"/>
      <c r="X77" s="388">
        <f>X54</f>
        <v>16</v>
      </c>
      <c r="Y77" s="389">
        <f>Y54+Y55</f>
        <v>2</v>
      </c>
      <c r="AA77" s="175" t="s">
        <v>405</v>
      </c>
      <c r="AB77" s="96"/>
      <c r="AC77" s="388">
        <f>AC53</f>
        <v>23.92</v>
      </c>
      <c r="AD77" s="389">
        <f>AD53</f>
        <v>1</v>
      </c>
      <c r="AF77" s="175" t="s">
        <v>405</v>
      </c>
      <c r="AG77" s="96"/>
      <c r="AH77" s="388">
        <f>AH52</f>
        <v>21.6</v>
      </c>
      <c r="AI77" s="389">
        <f>AI52</f>
        <v>1</v>
      </c>
      <c r="AK77" s="317"/>
      <c r="AL77" s="31"/>
      <c r="AM77" s="273"/>
      <c r="AN77" s="274"/>
      <c r="AP77" s="175" t="s">
        <v>405</v>
      </c>
      <c r="AQ77" s="96"/>
      <c r="AR77" s="388">
        <f>AR53</f>
        <v>21.2</v>
      </c>
      <c r="AS77" s="389">
        <f>AS53</f>
        <v>1</v>
      </c>
      <c r="AU77" s="175" t="s">
        <v>405</v>
      </c>
      <c r="AV77" s="96"/>
      <c r="AW77" s="388">
        <f>AW67</f>
        <v>25.53</v>
      </c>
      <c r="AX77" s="389">
        <f>AX67</f>
        <v>1</v>
      </c>
    </row>
    <row r="78" spans="2:50" s="94" customFormat="1" ht="12.75">
      <c r="B78" s="175" t="s">
        <v>406</v>
      </c>
      <c r="C78" s="96"/>
      <c r="D78" s="390">
        <f>D54</f>
        <v>24.73</v>
      </c>
      <c r="E78" s="391">
        <f>SUM(E54:E57)</f>
        <v>4</v>
      </c>
      <c r="G78" s="175" t="s">
        <v>406</v>
      </c>
      <c r="H78" s="96"/>
      <c r="I78" s="390">
        <f>IF(J78&lt;&gt;0,SUMPRODUCT(I54:I57,J54:J57)/SUM(J54:J57),0)</f>
        <v>29.237499999999997</v>
      </c>
      <c r="J78" s="391">
        <f>SUM(J54:J57)</f>
        <v>4</v>
      </c>
      <c r="L78" s="175" t="s">
        <v>406</v>
      </c>
      <c r="M78" s="96"/>
      <c r="N78" s="390">
        <f>IF(O78&lt;&gt;0,SUMPRODUCT(N54:N56,O54:O56)/SUM(O54:O56),0)</f>
        <v>29.159999999999997</v>
      </c>
      <c r="O78" s="391">
        <f>SUM(O54:O56)</f>
        <v>3</v>
      </c>
      <c r="Q78" s="317"/>
      <c r="R78" s="31"/>
      <c r="S78" s="273"/>
      <c r="T78" s="274"/>
      <c r="V78" s="175" t="s">
        <v>406</v>
      </c>
      <c r="W78" s="96"/>
      <c r="X78" s="390">
        <f>IF(Y78&lt;&gt;0,SUMPRODUCT(X56:X59,Y56:Y59)/SUM(Y56:Y59),0)</f>
        <v>18.5</v>
      </c>
      <c r="Y78" s="391">
        <f>SUM(Y56:Y59)</f>
        <v>4</v>
      </c>
      <c r="AA78" s="175" t="s">
        <v>406</v>
      </c>
      <c r="AB78" s="96"/>
      <c r="AC78" s="390">
        <f>IF(AD78&lt;&gt;0,SUMPRODUCT(AC54:AC55,AD54:AD55)/SUM(AD54:AD55),0)</f>
        <v>37.75</v>
      </c>
      <c r="AD78" s="391">
        <f>SUM(AD54:AD55)</f>
        <v>2</v>
      </c>
      <c r="AF78" s="175" t="s">
        <v>406</v>
      </c>
      <c r="AG78" s="96"/>
      <c r="AH78" s="390">
        <f>IF(AI78&lt;&gt;0,SUMPRODUCT(AH53:AH54,AI53:AI54)/SUM(AI53:AI54),0)</f>
        <v>28.73</v>
      </c>
      <c r="AI78" s="391">
        <f>SUM(AI53:AI54)</f>
        <v>2</v>
      </c>
      <c r="AK78" s="317"/>
      <c r="AL78" s="31"/>
      <c r="AM78" s="273"/>
      <c r="AN78" s="274"/>
      <c r="AP78" s="175" t="s">
        <v>406</v>
      </c>
      <c r="AQ78" s="96"/>
      <c r="AR78" s="390">
        <f>IF(AS78&lt;&gt;0,SUMPRODUCT(AR54:AR57,AS54:AS57)/SUM(AS54:AS57),0)</f>
        <v>26.075</v>
      </c>
      <c r="AS78" s="391">
        <f>SUM(AS54:AS57)</f>
        <v>4</v>
      </c>
      <c r="AU78" s="175" t="s">
        <v>406</v>
      </c>
      <c r="AV78" s="96"/>
      <c r="AW78" s="390">
        <f>SUMPRODUCT(AW63:AW66,AX63:AX66)/SUM(AX63:AX66)</f>
        <v>29.3625</v>
      </c>
      <c r="AX78" s="391">
        <f>SUM(AX63:AX66)</f>
        <v>4</v>
      </c>
    </row>
    <row r="79" spans="2:50" s="94" customFormat="1" ht="12.75">
      <c r="B79" s="175" t="s">
        <v>394</v>
      </c>
      <c r="C79" s="96"/>
      <c r="D79" s="392">
        <f>IF(E79&lt;&gt;0,SUMPRODUCT(D58:D64,E58:E64)/SUM(E58:E64),0)</f>
        <v>70.16285714285713</v>
      </c>
      <c r="E79" s="393">
        <f>SUM(E58:E64)</f>
        <v>7</v>
      </c>
      <c r="G79" s="175" t="s">
        <v>394</v>
      </c>
      <c r="H79" s="96"/>
      <c r="I79" s="392">
        <f>I58</f>
        <v>44.09</v>
      </c>
      <c r="J79" s="393">
        <f>J58</f>
        <v>1</v>
      </c>
      <c r="L79" s="175" t="s">
        <v>394</v>
      </c>
      <c r="M79" s="96"/>
      <c r="N79" s="392">
        <f>IF(O79&lt;&gt;0,SUMPRODUCT(N57:N58,O57:O58)/SUM(O57:O58),0)</f>
        <v>46.545</v>
      </c>
      <c r="O79" s="393">
        <f>O58+O57</f>
        <v>2</v>
      </c>
      <c r="Q79" s="317"/>
      <c r="R79" s="31"/>
      <c r="S79" s="273"/>
      <c r="T79" s="274"/>
      <c r="V79" s="175" t="s">
        <v>394</v>
      </c>
      <c r="W79" s="96"/>
      <c r="X79" s="392">
        <f>IF(Y79&lt;&gt;0,SUMPRODUCT(X60:X61,Y60:Y61)/SUM(Y60:Y61),0)</f>
        <v>26</v>
      </c>
      <c r="Y79" s="393">
        <f>SUM(Y60:Y61)</f>
        <v>2</v>
      </c>
      <c r="AA79" s="175" t="s">
        <v>394</v>
      </c>
      <c r="AB79" s="96"/>
      <c r="AC79" s="392">
        <f>IF(AD79&lt;&gt;0,SUMPRODUCT(AC56:AC57,AD56:AD57)/SUM(AD56:AD57),0)</f>
        <v>50.25</v>
      </c>
      <c r="AD79" s="393">
        <f>AD57+AD56</f>
        <v>2</v>
      </c>
      <c r="AF79" s="175" t="s">
        <v>394</v>
      </c>
      <c r="AG79" s="96"/>
      <c r="AH79" s="392">
        <f>IF(AI79&lt;&gt;0,SUMPRODUCT(AH55:AH56,AI55:AI56)/SUM(AI55:AI56),0)</f>
        <v>43.225</v>
      </c>
      <c r="AI79" s="393">
        <f>AI55+AI56</f>
        <v>2</v>
      </c>
      <c r="AK79" s="317"/>
      <c r="AL79" s="31"/>
      <c r="AM79" s="273"/>
      <c r="AN79" s="274"/>
      <c r="AP79" s="175" t="s">
        <v>394</v>
      </c>
      <c r="AQ79" s="96"/>
      <c r="AR79" s="392">
        <f>IF(AS79&lt;&gt;0,SUMPRODUCT(AR58:AR62,AS58:AS62)/SUM(AS58:AS62),0)</f>
        <v>38.338</v>
      </c>
      <c r="AS79" s="393">
        <f>SUM(AS58:AS62)</f>
        <v>5</v>
      </c>
      <c r="AU79" s="175" t="s">
        <v>394</v>
      </c>
      <c r="AV79" s="96"/>
      <c r="AW79" s="392">
        <f>SUMPRODUCT(AW57:AW62,AX57:AX62)/SUM(AX57:AX62)</f>
        <v>92.84500000000001</v>
      </c>
      <c r="AX79" s="393">
        <f>SUM(AX57:AX62)</f>
        <v>6</v>
      </c>
    </row>
    <row r="80" spans="2:50" s="94" customFormat="1" ht="12.75">
      <c r="B80" s="175" t="s">
        <v>397</v>
      </c>
      <c r="C80" s="96"/>
      <c r="D80" s="394">
        <f>IF(E80&lt;&gt;0,SUMPRODUCT(D65:D67,E65:E67)/SUM(E65:E67),0)</f>
        <v>150.75</v>
      </c>
      <c r="E80" s="395">
        <f>SUM(E65:E67)</f>
        <v>3</v>
      </c>
      <c r="G80" s="175" t="s">
        <v>397</v>
      </c>
      <c r="H80" s="96"/>
      <c r="I80" s="394">
        <f>IF(J80&lt;&gt;0,SUMPRODUCT(I59:I60,J59:J60)/SUM(J59:J60),0)</f>
        <v>84.79</v>
      </c>
      <c r="J80" s="395">
        <f>J59+J60</f>
        <v>2</v>
      </c>
      <c r="L80" s="175" t="s">
        <v>397</v>
      </c>
      <c r="M80" s="96"/>
      <c r="N80" s="394">
        <f>IF(O80&lt;&gt;0,SUMPRODUCT(N59:N61,O59:O61)/SUM(O59:O61),0)</f>
        <v>94.81</v>
      </c>
      <c r="O80" s="395">
        <f>O59+O60+O61</f>
        <v>3</v>
      </c>
      <c r="Q80" s="317"/>
      <c r="R80" s="31"/>
      <c r="S80" s="273"/>
      <c r="T80" s="274"/>
      <c r="V80" s="175" t="s">
        <v>397</v>
      </c>
      <c r="W80" s="96"/>
      <c r="X80" s="394">
        <f>IF(Y80&lt;&gt;0,SUMPRODUCT(X62:X63,Y62:Y63)/SUM(Y62:Y63),0)</f>
        <v>60</v>
      </c>
      <c r="Y80" s="395">
        <f>Y62+Y63</f>
        <v>2</v>
      </c>
      <c r="AA80" s="175" t="s">
        <v>397</v>
      </c>
      <c r="AB80" s="96"/>
      <c r="AC80" s="394">
        <f>IF(AD80&lt;&gt;0,SUMPRODUCT(AC58:AC60,AD58:AD60)/SUM(AD58:AD60),0)</f>
        <v>90.3</v>
      </c>
      <c r="AD80" s="395">
        <f>AD59+AD60+AD58</f>
        <v>3</v>
      </c>
      <c r="AF80" s="175" t="s">
        <v>397</v>
      </c>
      <c r="AG80" s="96"/>
      <c r="AH80" s="394">
        <f>IF(AI80&lt;&gt;0,SUMPRODUCT(AH57:AH59,AI57:AI59)/SUM(AI57:AI59),0)</f>
        <v>103.93</v>
      </c>
      <c r="AI80" s="395">
        <f>AI59+AI57+AI58</f>
        <v>3</v>
      </c>
      <c r="AK80" s="317"/>
      <c r="AL80" s="31"/>
      <c r="AM80" s="273"/>
      <c r="AN80" s="274"/>
      <c r="AP80" s="175" t="s">
        <v>397</v>
      </c>
      <c r="AQ80" s="96"/>
      <c r="AR80" s="394">
        <f>IF(AS80&lt;&gt;0,SUMPRODUCT(AR63:AR65,AS63:AS65)/SUM(AS63:AS65),0)</f>
        <v>101.24</v>
      </c>
      <c r="AS80" s="395">
        <f>SUM(AS63:AS65)</f>
        <v>3</v>
      </c>
      <c r="AU80" s="175" t="s">
        <v>397</v>
      </c>
      <c r="AV80" s="96"/>
      <c r="AW80" s="394">
        <f>SUMPRODUCT(AW53:AW56,AX53:AX56)/SUM(AX53:AX56)</f>
        <v>324.27750000000003</v>
      </c>
      <c r="AX80" s="395">
        <f>SUM(AX53:AX56)</f>
        <v>4</v>
      </c>
    </row>
    <row r="81" spans="2:50" s="94" customFormat="1" ht="12.75">
      <c r="B81" s="178" t="s">
        <v>400</v>
      </c>
      <c r="C81" s="195"/>
      <c r="D81" s="396"/>
      <c r="E81" s="397"/>
      <c r="G81" s="178" t="s">
        <v>400</v>
      </c>
      <c r="H81" s="195"/>
      <c r="I81" s="400">
        <f>IF(J81&lt;&gt;0,SUMPRODUCT(I61:I62,J61:J62)/SUM(J61:J62),0)</f>
        <v>109.38499999999999</v>
      </c>
      <c r="J81" s="401">
        <f>J62+J61</f>
        <v>2</v>
      </c>
      <c r="L81" s="178" t="s">
        <v>400</v>
      </c>
      <c r="M81" s="195"/>
      <c r="N81" s="400">
        <f>IF(O81&lt;&gt;0,SUMPRODUCT(N62:N63,O62:O63)/SUM(O62:O63),0)</f>
        <v>149.685</v>
      </c>
      <c r="O81" s="401">
        <f>O62+O63</f>
        <v>2</v>
      </c>
      <c r="Q81" s="318"/>
      <c r="R81" s="239"/>
      <c r="S81" s="275"/>
      <c r="T81" s="241"/>
      <c r="V81" s="178" t="s">
        <v>400</v>
      </c>
      <c r="W81" s="195"/>
      <c r="X81" s="400">
        <f>IF(Y81&lt;&gt;0,SUMPRODUCT(X64:X65,Y64:Y65)/SUM(Y64:Y65),0)</f>
        <v>118.5</v>
      </c>
      <c r="Y81" s="401">
        <f>Y64+Y65</f>
        <v>2</v>
      </c>
      <c r="AA81" s="178" t="s">
        <v>400</v>
      </c>
      <c r="AB81" s="195"/>
      <c r="AC81" s="400">
        <f>IF(AD81&lt;&gt;0,SUMPRODUCT(AC61:AC62,AD61:AD62)/SUM(AD61:AD62),0)</f>
        <v>156.41</v>
      </c>
      <c r="AD81" s="401">
        <f>AD62+AD61</f>
        <v>2</v>
      </c>
      <c r="AF81" s="178" t="s">
        <v>400</v>
      </c>
      <c r="AG81" s="195"/>
      <c r="AH81" s="400">
        <f>IF(AI81&lt;&gt;0,SUMPRODUCT(AH60:AH61,AI60:AI61)/SUM(AI60:AI61),0)</f>
        <v>138.88</v>
      </c>
      <c r="AI81" s="401">
        <f>AI60+AI61</f>
        <v>2</v>
      </c>
      <c r="AK81" s="318"/>
      <c r="AL81" s="239"/>
      <c r="AM81" s="275"/>
      <c r="AN81" s="241"/>
      <c r="AP81" s="178" t="s">
        <v>400</v>
      </c>
      <c r="AQ81" s="195"/>
      <c r="AR81" s="400">
        <f>IF(AS81&lt;&gt;0,SUMPRODUCT(AR66:AR67,AS66:AS67)/SUM(AS66:AS67),0)</f>
        <v>200.93</v>
      </c>
      <c r="AS81" s="401">
        <f>SUM(AS66:AS67)</f>
        <v>2</v>
      </c>
      <c r="AU81" s="178" t="s">
        <v>400</v>
      </c>
      <c r="AV81" s="195"/>
      <c r="AW81" s="396">
        <f>AW52</f>
        <v>132.79</v>
      </c>
      <c r="AX81" s="397">
        <f>AX52</f>
        <v>1</v>
      </c>
    </row>
    <row r="82" spans="2:50" s="86" customFormat="1" ht="12.75">
      <c r="B82" s="223" t="s">
        <v>451</v>
      </c>
      <c r="C82" s="220"/>
      <c r="D82" s="398">
        <f>SUMPRODUCT(D76:D81,E76:E81)</f>
        <v>1077.33</v>
      </c>
      <c r="E82" s="399"/>
      <c r="G82" s="223" t="s">
        <v>451</v>
      </c>
      <c r="H82" s="220"/>
      <c r="I82" s="398">
        <f>SUMPRODUCT(I76:I81,J76:J81)</f>
        <v>586.35</v>
      </c>
      <c r="J82" s="399"/>
      <c r="L82" s="223" t="s">
        <v>451</v>
      </c>
      <c r="M82" s="220"/>
      <c r="N82" s="398">
        <f>SUMPRODUCT(N76:N81,O76:O81)</f>
        <v>800.66</v>
      </c>
      <c r="O82" s="399"/>
      <c r="Q82" s="223" t="s">
        <v>451</v>
      </c>
      <c r="R82" s="220"/>
      <c r="S82" s="222">
        <f>SUMPRODUCT(S76:S81,T76:T81)</f>
        <v>0</v>
      </c>
      <c r="T82" s="221"/>
      <c r="V82" s="223" t="s">
        <v>451</v>
      </c>
      <c r="W82" s="220"/>
      <c r="X82" s="398">
        <f>SUMPRODUCT(X76:X81,Y76:Y81)</f>
        <v>529</v>
      </c>
      <c r="Y82" s="399"/>
      <c r="AA82" s="223" t="s">
        <v>451</v>
      </c>
      <c r="AB82" s="220"/>
      <c r="AC82" s="398">
        <f>SUMPRODUCT(AC76:AC81,AD76:AD81)</f>
        <v>806.6800000000001</v>
      </c>
      <c r="AD82" s="399"/>
      <c r="AF82" s="223" t="s">
        <v>451</v>
      </c>
      <c r="AG82" s="220"/>
      <c r="AH82" s="398">
        <f>SUMPRODUCT(AH76:AH81,AI76:AI81)</f>
        <v>771.4100000000001</v>
      </c>
      <c r="AI82" s="399"/>
      <c r="AK82" s="223" t="s">
        <v>451</v>
      </c>
      <c r="AL82" s="220"/>
      <c r="AM82" s="222">
        <f>SUMPRODUCT(AM76:AM81,AN76:AN81)</f>
        <v>0</v>
      </c>
      <c r="AN82" s="221"/>
      <c r="AP82" s="223" t="s">
        <v>451</v>
      </c>
      <c r="AQ82" s="220"/>
      <c r="AR82" s="398">
        <f>SUMPRODUCT(AR76:AR81,AS76:AS81)</f>
        <v>1040.8600000000001</v>
      </c>
      <c r="AS82" s="399"/>
      <c r="AU82" s="223" t="s">
        <v>451</v>
      </c>
      <c r="AV82" s="220"/>
      <c r="AW82" s="398">
        <f>SUMPRODUCT(AW76:AW81,AX76:AX81)</f>
        <v>2147.6200000000003</v>
      </c>
      <c r="AX82" s="399"/>
    </row>
    <row r="83" spans="2:44" ht="12.75">
      <c r="B83" s="94"/>
      <c r="C83" s="94"/>
      <c r="D83" s="94"/>
      <c r="E83" s="94"/>
      <c r="S83" s="94"/>
      <c r="T83" s="94"/>
      <c r="V83" s="94"/>
      <c r="W83" s="94"/>
      <c r="X83" s="94"/>
      <c r="Y83" s="94"/>
      <c r="Z83" s="94"/>
      <c r="AK83" s="94"/>
      <c r="AL83" s="94"/>
      <c r="AM83" s="94"/>
      <c r="AN83" s="94"/>
      <c r="AO83" s="94"/>
      <c r="AP83" s="94"/>
      <c r="AQ83" s="94"/>
      <c r="AR83" s="94"/>
    </row>
    <row r="84" spans="1:12" s="199" customFormat="1" ht="12.75">
      <c r="A84" s="199" t="s">
        <v>560</v>
      </c>
      <c r="B84" s="83"/>
      <c r="C84" s="200"/>
      <c r="D84" s="200"/>
      <c r="E84" s="200"/>
      <c r="F84" s="200"/>
      <c r="G84" s="200"/>
      <c r="H84" s="200"/>
      <c r="I84" s="200"/>
      <c r="J84" s="200"/>
      <c r="K84" s="200"/>
      <c r="L84" s="200"/>
    </row>
    <row r="85" spans="1:6" ht="12.75">
      <c r="A85" s="224"/>
      <c r="B85" s="120"/>
      <c r="C85" s="120"/>
      <c r="D85" s="120"/>
      <c r="E85" s="120"/>
      <c r="F85" s="120"/>
    </row>
    <row r="86" spans="2:47" s="94" customFormat="1" ht="15.75">
      <c r="B86" s="281" t="s">
        <v>146</v>
      </c>
      <c r="C86" s="86"/>
      <c r="D86" s="86"/>
      <c r="E86" s="86"/>
      <c r="F86" s="86"/>
      <c r="G86" s="122" t="s">
        <v>29</v>
      </c>
      <c r="L86" s="122" t="s">
        <v>147</v>
      </c>
      <c r="Q86" s="122" t="s">
        <v>288</v>
      </c>
      <c r="V86" s="122" t="s">
        <v>148</v>
      </c>
      <c r="AA86" s="122" t="s">
        <v>149</v>
      </c>
      <c r="AF86" s="281" t="s">
        <v>150</v>
      </c>
      <c r="AK86" s="122" t="s">
        <v>195</v>
      </c>
      <c r="AP86" s="122" t="s">
        <v>151</v>
      </c>
      <c r="AU86" s="123" t="s">
        <v>30</v>
      </c>
    </row>
    <row r="87" spans="2:50" s="94" customFormat="1" ht="12.75">
      <c r="B87" s="124" t="s">
        <v>476</v>
      </c>
      <c r="C87" s="125"/>
      <c r="D87" s="124" t="s">
        <v>402</v>
      </c>
      <c r="E87" s="312" t="s">
        <v>403</v>
      </c>
      <c r="G87" s="124" t="s">
        <v>476</v>
      </c>
      <c r="H87" s="125"/>
      <c r="I87" s="124" t="s">
        <v>402</v>
      </c>
      <c r="J87" s="312" t="s">
        <v>403</v>
      </c>
      <c r="L87" s="225" t="s">
        <v>476</v>
      </c>
      <c r="M87" s="226"/>
      <c r="N87" s="294" t="s">
        <v>402</v>
      </c>
      <c r="O87" s="293" t="s">
        <v>403</v>
      </c>
      <c r="Q87" s="124"/>
      <c r="R87" s="125"/>
      <c r="S87" s="269"/>
      <c r="T87" s="270"/>
      <c r="V87" s="225" t="s">
        <v>476</v>
      </c>
      <c r="W87" s="226"/>
      <c r="X87" s="297" t="s">
        <v>402</v>
      </c>
      <c r="Y87" s="293" t="s">
        <v>403</v>
      </c>
      <c r="AA87" s="124" t="s">
        <v>476</v>
      </c>
      <c r="AB87" s="125"/>
      <c r="AC87" s="183" t="s">
        <v>402</v>
      </c>
      <c r="AD87" s="293" t="s">
        <v>403</v>
      </c>
      <c r="AF87" s="124" t="s">
        <v>476</v>
      </c>
      <c r="AG87" s="125"/>
      <c r="AH87" s="183" t="s">
        <v>402</v>
      </c>
      <c r="AI87" s="293" t="s">
        <v>403</v>
      </c>
      <c r="AK87" s="124"/>
      <c r="AL87" s="125"/>
      <c r="AM87" s="269"/>
      <c r="AN87" s="270"/>
      <c r="AP87" s="225" t="s">
        <v>476</v>
      </c>
      <c r="AQ87" s="226"/>
      <c r="AR87" s="294" t="s">
        <v>402</v>
      </c>
      <c r="AS87" s="293" t="s">
        <v>403</v>
      </c>
      <c r="AU87" s="124" t="s">
        <v>476</v>
      </c>
      <c r="AV87" s="125"/>
      <c r="AW87" s="183" t="s">
        <v>402</v>
      </c>
      <c r="AX87" s="293" t="s">
        <v>403</v>
      </c>
    </row>
    <row r="88" spans="2:50" s="94" customFormat="1" ht="12.75">
      <c r="B88" s="346" t="s">
        <v>478</v>
      </c>
      <c r="C88" s="231"/>
      <c r="D88" s="369">
        <v>424.02</v>
      </c>
      <c r="E88" s="369">
        <v>1</v>
      </c>
      <c r="F88" s="92"/>
      <c r="G88" s="170" t="s">
        <v>494</v>
      </c>
      <c r="H88" s="127"/>
      <c r="I88" s="360">
        <v>299.97</v>
      </c>
      <c r="J88" s="360">
        <v>1</v>
      </c>
      <c r="L88" s="346" t="s">
        <v>538</v>
      </c>
      <c r="M88" s="231"/>
      <c r="N88" s="360">
        <v>348.79</v>
      </c>
      <c r="O88" s="360">
        <v>1</v>
      </c>
      <c r="Q88" s="170"/>
      <c r="R88" s="242"/>
      <c r="S88" s="211"/>
      <c r="T88" s="212"/>
      <c r="U88" s="170"/>
      <c r="V88" s="157"/>
      <c r="W88" s="336"/>
      <c r="X88" s="182"/>
      <c r="Y88" s="169"/>
      <c r="AA88" s="170" t="s">
        <v>512</v>
      </c>
      <c r="AB88" s="127"/>
      <c r="AC88" s="360">
        <v>359.19</v>
      </c>
      <c r="AD88" s="360">
        <v>1</v>
      </c>
      <c r="AF88" s="132" t="s">
        <v>295</v>
      </c>
      <c r="AG88" s="231"/>
      <c r="AH88" s="366">
        <v>565.95</v>
      </c>
      <c r="AI88" s="366">
        <v>1</v>
      </c>
      <c r="AK88" s="170"/>
      <c r="AL88" s="242"/>
      <c r="AM88" s="211"/>
      <c r="AN88" s="212"/>
      <c r="AP88" s="346" t="s">
        <v>522</v>
      </c>
      <c r="AQ88" s="127"/>
      <c r="AR88" s="360">
        <v>366.84</v>
      </c>
      <c r="AS88" s="360">
        <v>1</v>
      </c>
      <c r="AT88" s="227"/>
      <c r="AU88" s="170" t="s">
        <v>547</v>
      </c>
      <c r="AV88" s="127"/>
      <c r="AW88" s="315">
        <v>178593.68</v>
      </c>
      <c r="AX88" s="315">
        <v>1</v>
      </c>
    </row>
    <row r="89" spans="2:50" s="94" customFormat="1" ht="12.75">
      <c r="B89" s="170" t="s">
        <v>479</v>
      </c>
      <c r="C89" s="227"/>
      <c r="D89" s="370">
        <v>604.57</v>
      </c>
      <c r="E89" s="370">
        <v>1</v>
      </c>
      <c r="F89" s="92"/>
      <c r="G89" s="170" t="s">
        <v>495</v>
      </c>
      <c r="H89" s="137"/>
      <c r="I89" s="361">
        <v>569.5</v>
      </c>
      <c r="J89" s="361">
        <v>1</v>
      </c>
      <c r="L89" s="170" t="s">
        <v>539</v>
      </c>
      <c r="M89" s="227"/>
      <c r="N89" s="361">
        <v>510.18</v>
      </c>
      <c r="O89" s="361">
        <v>1</v>
      </c>
      <c r="Q89" s="170"/>
      <c r="R89" s="156"/>
      <c r="S89" s="213"/>
      <c r="T89" s="214"/>
      <c r="U89" s="170"/>
      <c r="V89" s="170" t="s">
        <v>501</v>
      </c>
      <c r="W89" s="227"/>
      <c r="X89" s="367">
        <v>310</v>
      </c>
      <c r="Y89" s="367">
        <v>1</v>
      </c>
      <c r="AA89" s="170" t="s">
        <v>298</v>
      </c>
      <c r="AB89" s="137"/>
      <c r="AC89" s="361">
        <v>466.36</v>
      </c>
      <c r="AD89" s="361">
        <v>1</v>
      </c>
      <c r="AF89" s="126" t="s">
        <v>300</v>
      </c>
      <c r="AG89" s="227"/>
      <c r="AH89" s="362">
        <v>875.5</v>
      </c>
      <c r="AI89" s="362">
        <v>1</v>
      </c>
      <c r="AK89" s="170"/>
      <c r="AL89" s="156"/>
      <c r="AM89" s="213"/>
      <c r="AN89" s="214"/>
      <c r="AP89" s="170" t="s">
        <v>523</v>
      </c>
      <c r="AQ89" s="137"/>
      <c r="AR89" s="361">
        <v>620.97</v>
      </c>
      <c r="AS89" s="361">
        <v>1</v>
      </c>
      <c r="AT89" s="227"/>
      <c r="AU89" s="170" t="s">
        <v>548</v>
      </c>
      <c r="AV89" s="137"/>
      <c r="AW89" s="286">
        <v>58680.78</v>
      </c>
      <c r="AX89" s="286">
        <v>1</v>
      </c>
    </row>
    <row r="90" spans="2:50" s="94" customFormat="1" ht="12.75">
      <c r="B90" s="170" t="s">
        <v>393</v>
      </c>
      <c r="C90" s="227"/>
      <c r="D90" s="371">
        <v>969.47</v>
      </c>
      <c r="E90" s="371">
        <v>1</v>
      </c>
      <c r="F90" s="92"/>
      <c r="G90" s="170" t="s">
        <v>393</v>
      </c>
      <c r="H90" s="137"/>
      <c r="I90" s="362">
        <v>803.21</v>
      </c>
      <c r="J90" s="362">
        <v>1</v>
      </c>
      <c r="L90" s="170" t="s">
        <v>393</v>
      </c>
      <c r="M90" s="227"/>
      <c r="N90" s="362">
        <v>767.3</v>
      </c>
      <c r="O90" s="362">
        <v>1</v>
      </c>
      <c r="Q90" s="170"/>
      <c r="R90" s="156"/>
      <c r="S90" s="213"/>
      <c r="T90" s="214"/>
      <c r="U90" s="170"/>
      <c r="V90" s="170" t="s">
        <v>502</v>
      </c>
      <c r="W90" s="227"/>
      <c r="X90" s="361">
        <v>595</v>
      </c>
      <c r="Y90" s="361">
        <v>1</v>
      </c>
      <c r="AA90" s="170" t="s">
        <v>513</v>
      </c>
      <c r="AB90" s="137"/>
      <c r="AC90" s="362">
        <v>770.07</v>
      </c>
      <c r="AD90" s="362">
        <v>1</v>
      </c>
      <c r="AF90" s="126" t="s">
        <v>308</v>
      </c>
      <c r="AG90" s="227"/>
      <c r="AH90" s="362">
        <v>1061.5</v>
      </c>
      <c r="AI90" s="362">
        <v>1</v>
      </c>
      <c r="AK90" s="170"/>
      <c r="AL90" s="156"/>
      <c r="AM90" s="213"/>
      <c r="AN90" s="214"/>
      <c r="AP90" s="170" t="s">
        <v>524</v>
      </c>
      <c r="AQ90" s="137"/>
      <c r="AR90" s="362">
        <v>835.76</v>
      </c>
      <c r="AS90" s="362">
        <v>1</v>
      </c>
      <c r="AT90" s="227"/>
      <c r="AU90" s="170" t="s">
        <v>549</v>
      </c>
      <c r="AV90" s="137"/>
      <c r="AW90" s="286">
        <v>20614.48</v>
      </c>
      <c r="AX90" s="286">
        <v>1</v>
      </c>
    </row>
    <row r="91" spans="2:50" s="94" customFormat="1" ht="12.75">
      <c r="B91" s="170" t="s">
        <v>392</v>
      </c>
      <c r="C91" s="227"/>
      <c r="D91" s="371">
        <v>969.47</v>
      </c>
      <c r="E91" s="371">
        <v>1</v>
      </c>
      <c r="F91" s="92"/>
      <c r="G91" s="170" t="s">
        <v>392</v>
      </c>
      <c r="H91" s="137"/>
      <c r="I91" s="362">
        <v>884.7</v>
      </c>
      <c r="J91" s="362">
        <v>1</v>
      </c>
      <c r="L91" s="170" t="s">
        <v>540</v>
      </c>
      <c r="M91" s="227"/>
      <c r="N91" s="362">
        <v>767.3</v>
      </c>
      <c r="O91" s="362">
        <v>1</v>
      </c>
      <c r="Q91" s="170"/>
      <c r="R91" s="156"/>
      <c r="S91" s="213"/>
      <c r="T91" s="214"/>
      <c r="U91" s="170"/>
      <c r="V91" s="170" t="s">
        <v>503</v>
      </c>
      <c r="W91" s="227"/>
      <c r="X91" s="361">
        <v>595</v>
      </c>
      <c r="Y91" s="361">
        <v>1</v>
      </c>
      <c r="AA91" s="170" t="s">
        <v>514</v>
      </c>
      <c r="AB91" s="137"/>
      <c r="AC91" s="362">
        <v>1672.09</v>
      </c>
      <c r="AD91" s="362">
        <v>1</v>
      </c>
      <c r="AF91" s="126" t="s">
        <v>315</v>
      </c>
      <c r="AG91" s="227"/>
      <c r="AH91" s="363">
        <v>3817</v>
      </c>
      <c r="AI91" s="363">
        <v>1</v>
      </c>
      <c r="AK91" s="170"/>
      <c r="AL91" s="156"/>
      <c r="AM91" s="213"/>
      <c r="AN91" s="214"/>
      <c r="AP91" s="170" t="s">
        <v>525</v>
      </c>
      <c r="AQ91" s="137"/>
      <c r="AR91" s="362">
        <v>942.09</v>
      </c>
      <c r="AS91" s="362">
        <v>1</v>
      </c>
      <c r="AT91" s="227"/>
      <c r="AU91" s="170" t="s">
        <v>550</v>
      </c>
      <c r="AV91" s="137"/>
      <c r="AW91" s="286">
        <v>13189.85</v>
      </c>
      <c r="AX91" s="286">
        <v>1</v>
      </c>
    </row>
    <row r="92" spans="2:50" s="94" customFormat="1" ht="12.75">
      <c r="B92" s="170" t="s">
        <v>480</v>
      </c>
      <c r="C92" s="227"/>
      <c r="D92" s="371">
        <v>969.47</v>
      </c>
      <c r="E92" s="371">
        <v>1</v>
      </c>
      <c r="F92" s="92"/>
      <c r="G92" s="170" t="s">
        <v>480</v>
      </c>
      <c r="H92" s="137"/>
      <c r="I92" s="362">
        <v>995.73</v>
      </c>
      <c r="J92" s="362">
        <v>1</v>
      </c>
      <c r="L92" s="170" t="s">
        <v>541</v>
      </c>
      <c r="M92" s="227"/>
      <c r="N92" s="362">
        <v>1252</v>
      </c>
      <c r="O92" s="362">
        <v>1</v>
      </c>
      <c r="Q92" s="170"/>
      <c r="R92" s="156"/>
      <c r="S92" s="213"/>
      <c r="T92" s="214"/>
      <c r="U92" s="170"/>
      <c r="V92" s="170" t="s">
        <v>504</v>
      </c>
      <c r="W92" s="227"/>
      <c r="X92" s="362">
        <v>725</v>
      </c>
      <c r="Y92" s="362">
        <v>1</v>
      </c>
      <c r="AA92" s="170" t="s">
        <v>515</v>
      </c>
      <c r="AB92" s="137"/>
      <c r="AC92" s="363">
        <v>2817.21</v>
      </c>
      <c r="AD92" s="363">
        <v>1</v>
      </c>
      <c r="AF92" s="126" t="s">
        <v>324</v>
      </c>
      <c r="AG92" s="227"/>
      <c r="AH92" s="363">
        <v>4283</v>
      </c>
      <c r="AI92" s="363">
        <v>1</v>
      </c>
      <c r="AK92" s="170"/>
      <c r="AL92" s="156"/>
      <c r="AM92" s="213"/>
      <c r="AN92" s="214"/>
      <c r="AP92" s="170" t="s">
        <v>526</v>
      </c>
      <c r="AQ92" s="137"/>
      <c r="AR92" s="362">
        <v>1017.58</v>
      </c>
      <c r="AS92" s="362">
        <v>1</v>
      </c>
      <c r="AT92" s="227"/>
      <c r="AU92" s="170" t="s">
        <v>551</v>
      </c>
      <c r="AV92" s="137"/>
      <c r="AW92" s="286">
        <v>11771.83</v>
      </c>
      <c r="AX92" s="286">
        <v>1</v>
      </c>
    </row>
    <row r="93" spans="2:50" s="94" customFormat="1" ht="12.75">
      <c r="B93" s="170" t="s">
        <v>481</v>
      </c>
      <c r="C93" s="227"/>
      <c r="D93" s="371">
        <v>969.47</v>
      </c>
      <c r="E93" s="371">
        <v>1</v>
      </c>
      <c r="F93" s="92"/>
      <c r="G93" s="170" t="s">
        <v>481</v>
      </c>
      <c r="H93" s="137"/>
      <c r="I93" s="362">
        <v>1057.52</v>
      </c>
      <c r="J93" s="362">
        <v>1</v>
      </c>
      <c r="L93" s="170" t="s">
        <v>542</v>
      </c>
      <c r="M93" s="227"/>
      <c r="N93" s="363">
        <v>2634</v>
      </c>
      <c r="O93" s="363">
        <v>1</v>
      </c>
      <c r="Q93" s="170"/>
      <c r="R93" s="156"/>
      <c r="S93" s="213"/>
      <c r="T93" s="214"/>
      <c r="U93" s="170"/>
      <c r="V93" s="170" t="s">
        <v>505</v>
      </c>
      <c r="W93" s="227"/>
      <c r="X93" s="362">
        <v>725</v>
      </c>
      <c r="Y93" s="362">
        <v>1</v>
      </c>
      <c r="AA93" s="170" t="s">
        <v>516</v>
      </c>
      <c r="AB93" s="137"/>
      <c r="AC93" s="363">
        <v>4294.34</v>
      </c>
      <c r="AD93" s="363">
        <v>1</v>
      </c>
      <c r="AF93" s="126" t="s">
        <v>334</v>
      </c>
      <c r="AG93" s="227"/>
      <c r="AH93" s="364">
        <v>17585</v>
      </c>
      <c r="AI93" s="364">
        <v>1</v>
      </c>
      <c r="AK93" s="170"/>
      <c r="AL93" s="156"/>
      <c r="AM93" s="213"/>
      <c r="AN93" s="214"/>
      <c r="AP93" s="170" t="s">
        <v>527</v>
      </c>
      <c r="AQ93" s="137"/>
      <c r="AR93" s="362">
        <v>1017.58</v>
      </c>
      <c r="AS93" s="362">
        <v>1</v>
      </c>
      <c r="AT93" s="227"/>
      <c r="AU93" s="170" t="s">
        <v>552</v>
      </c>
      <c r="AV93" s="137"/>
      <c r="AW93" s="287">
        <v>6429.37</v>
      </c>
      <c r="AX93" s="287">
        <v>1</v>
      </c>
    </row>
    <row r="94" spans="2:50" s="94" customFormat="1" ht="12.75">
      <c r="B94" s="170" t="s">
        <v>482</v>
      </c>
      <c r="C94" s="227"/>
      <c r="D94" s="372">
        <v>3627.4</v>
      </c>
      <c r="E94" s="372">
        <v>1</v>
      </c>
      <c r="F94" s="92"/>
      <c r="G94" s="170" t="s">
        <v>496</v>
      </c>
      <c r="H94" s="137"/>
      <c r="I94" s="363">
        <v>3860.26</v>
      </c>
      <c r="J94" s="363">
        <v>1</v>
      </c>
      <c r="L94" s="170" t="s">
        <v>543</v>
      </c>
      <c r="M94" s="227"/>
      <c r="N94" s="363">
        <v>3141</v>
      </c>
      <c r="O94" s="363">
        <v>1</v>
      </c>
      <c r="Q94" s="170"/>
      <c r="R94" s="156"/>
      <c r="S94" s="213"/>
      <c r="T94" s="214"/>
      <c r="U94" s="170"/>
      <c r="V94" s="170" t="s">
        <v>480</v>
      </c>
      <c r="W94" s="227"/>
      <c r="X94" s="362">
        <v>865</v>
      </c>
      <c r="Y94" s="362">
        <v>1</v>
      </c>
      <c r="AA94" s="170" t="s">
        <v>517</v>
      </c>
      <c r="AB94" s="137"/>
      <c r="AC94" s="364">
        <v>11934.01</v>
      </c>
      <c r="AD94" s="364">
        <v>1</v>
      </c>
      <c r="AF94" s="126" t="s">
        <v>343</v>
      </c>
      <c r="AG94" s="92"/>
      <c r="AH94" s="364">
        <v>32616</v>
      </c>
      <c r="AI94" s="364">
        <v>1</v>
      </c>
      <c r="AK94" s="170"/>
      <c r="AL94" s="156"/>
      <c r="AM94" s="213"/>
      <c r="AN94" s="214"/>
      <c r="AP94" s="170" t="s">
        <v>528</v>
      </c>
      <c r="AQ94" s="137"/>
      <c r="AR94" s="363">
        <v>3054.88</v>
      </c>
      <c r="AS94" s="363">
        <v>1</v>
      </c>
      <c r="AT94" s="227"/>
      <c r="AU94" s="170" t="s">
        <v>553</v>
      </c>
      <c r="AV94" s="137"/>
      <c r="AW94" s="287">
        <v>6429.37</v>
      </c>
      <c r="AX94" s="287">
        <v>1</v>
      </c>
    </row>
    <row r="95" spans="2:50" s="94" customFormat="1" ht="12.75">
      <c r="B95" s="170" t="s">
        <v>483</v>
      </c>
      <c r="C95" s="227"/>
      <c r="D95" s="372">
        <v>3834.38</v>
      </c>
      <c r="E95" s="372">
        <v>1</v>
      </c>
      <c r="F95" s="92"/>
      <c r="G95" s="170" t="s">
        <v>497</v>
      </c>
      <c r="H95" s="137"/>
      <c r="I95" s="364">
        <v>13206.02</v>
      </c>
      <c r="J95" s="364">
        <v>1</v>
      </c>
      <c r="L95" s="170" t="s">
        <v>544</v>
      </c>
      <c r="M95" s="92"/>
      <c r="N95" s="364">
        <v>31488</v>
      </c>
      <c r="O95" s="364">
        <v>1</v>
      </c>
      <c r="Q95" s="170"/>
      <c r="R95" s="156"/>
      <c r="S95" s="213"/>
      <c r="T95" s="214"/>
      <c r="U95" s="170"/>
      <c r="V95" s="170" t="s">
        <v>481</v>
      </c>
      <c r="W95" s="227"/>
      <c r="X95" s="362">
        <v>865</v>
      </c>
      <c r="Y95" s="362">
        <v>1</v>
      </c>
      <c r="AA95" s="170" t="s">
        <v>518</v>
      </c>
      <c r="AB95" s="137"/>
      <c r="AC95" s="364">
        <v>23227.39</v>
      </c>
      <c r="AD95" s="364">
        <v>1</v>
      </c>
      <c r="AF95" s="126" t="s">
        <v>415</v>
      </c>
      <c r="AG95" s="227"/>
      <c r="AH95" s="364">
        <v>51797</v>
      </c>
      <c r="AI95" s="364">
        <v>1</v>
      </c>
      <c r="AK95" s="170"/>
      <c r="AL95" s="156"/>
      <c r="AM95" s="213"/>
      <c r="AN95" s="214"/>
      <c r="AP95" s="170" t="s">
        <v>529</v>
      </c>
      <c r="AQ95" s="137"/>
      <c r="AR95" s="363">
        <v>3159.08</v>
      </c>
      <c r="AS95" s="363">
        <v>1</v>
      </c>
      <c r="AT95" s="227"/>
      <c r="AU95" s="170" t="s">
        <v>554</v>
      </c>
      <c r="AV95" s="137"/>
      <c r="AW95" s="287">
        <v>4898.56</v>
      </c>
      <c r="AX95" s="287">
        <v>1</v>
      </c>
    </row>
    <row r="96" spans="2:50" s="94" customFormat="1" ht="12.75">
      <c r="B96" s="170" t="s">
        <v>484</v>
      </c>
      <c r="C96" s="227"/>
      <c r="D96" s="372">
        <v>5286.04</v>
      </c>
      <c r="E96" s="372">
        <v>1</v>
      </c>
      <c r="F96" s="92"/>
      <c r="G96" s="170" t="s">
        <v>498</v>
      </c>
      <c r="H96" s="137"/>
      <c r="I96" s="364">
        <v>50487.87</v>
      </c>
      <c r="J96" s="364">
        <v>1</v>
      </c>
      <c r="L96" s="170" t="s">
        <v>545</v>
      </c>
      <c r="M96" s="357"/>
      <c r="N96" s="364">
        <v>39339</v>
      </c>
      <c r="O96" s="364">
        <v>1</v>
      </c>
      <c r="Q96" s="170"/>
      <c r="R96" s="156"/>
      <c r="S96" s="213"/>
      <c r="T96" s="214"/>
      <c r="U96" s="170"/>
      <c r="V96" s="170" t="s">
        <v>506</v>
      </c>
      <c r="W96" s="227"/>
      <c r="X96" s="363">
        <v>2200</v>
      </c>
      <c r="Y96" s="363">
        <v>1</v>
      </c>
      <c r="AA96" s="170" t="s">
        <v>519</v>
      </c>
      <c r="AB96" s="137"/>
      <c r="AC96" s="364">
        <v>33313</v>
      </c>
      <c r="AD96" s="364">
        <v>1</v>
      </c>
      <c r="AF96" s="126" t="s">
        <v>361</v>
      </c>
      <c r="AG96" s="227"/>
      <c r="AH96" s="365">
        <v>228994</v>
      </c>
      <c r="AI96" s="365">
        <v>1</v>
      </c>
      <c r="AK96" s="170"/>
      <c r="AL96" s="156"/>
      <c r="AM96" s="213"/>
      <c r="AN96" s="214"/>
      <c r="AP96" s="170" t="s">
        <v>530</v>
      </c>
      <c r="AQ96" s="137"/>
      <c r="AR96" s="363">
        <v>4059.71</v>
      </c>
      <c r="AS96" s="363">
        <v>1</v>
      </c>
      <c r="AT96" s="227"/>
      <c r="AU96" s="170" t="s">
        <v>555</v>
      </c>
      <c r="AV96" s="137"/>
      <c r="AW96" s="287">
        <v>4898.56</v>
      </c>
      <c r="AX96" s="287">
        <v>1</v>
      </c>
    </row>
    <row r="97" spans="2:50" s="94" customFormat="1" ht="12.75">
      <c r="B97" s="170" t="s">
        <v>485</v>
      </c>
      <c r="C97" s="227"/>
      <c r="D97" s="372">
        <v>5629.23</v>
      </c>
      <c r="E97" s="372">
        <v>1</v>
      </c>
      <c r="F97" s="92"/>
      <c r="G97" s="170" t="s">
        <v>499</v>
      </c>
      <c r="H97" s="137"/>
      <c r="I97" s="365">
        <v>191587.61</v>
      </c>
      <c r="J97" s="365">
        <v>1</v>
      </c>
      <c r="L97" s="170" t="s">
        <v>546</v>
      </c>
      <c r="M97" s="357"/>
      <c r="N97" s="364">
        <v>39339</v>
      </c>
      <c r="O97" s="364">
        <v>1</v>
      </c>
      <c r="Q97" s="170"/>
      <c r="R97" s="156"/>
      <c r="S97" s="213"/>
      <c r="T97" s="214"/>
      <c r="U97" s="170"/>
      <c r="V97" s="170" t="s">
        <v>507</v>
      </c>
      <c r="W97" s="227"/>
      <c r="X97" s="363">
        <v>2900</v>
      </c>
      <c r="Y97" s="363">
        <v>1</v>
      </c>
      <c r="AA97" s="170" t="s">
        <v>520</v>
      </c>
      <c r="AB97" s="137"/>
      <c r="AC97" s="365">
        <v>107867.83</v>
      </c>
      <c r="AD97" s="365">
        <v>1</v>
      </c>
      <c r="AF97" s="126" t="s">
        <v>370</v>
      </c>
      <c r="AG97" s="227"/>
      <c r="AH97" s="365">
        <v>333256</v>
      </c>
      <c r="AI97" s="365">
        <v>1</v>
      </c>
      <c r="AK97" s="170"/>
      <c r="AL97" s="156"/>
      <c r="AM97" s="213"/>
      <c r="AN97" s="214"/>
      <c r="AP97" s="170" t="s">
        <v>531</v>
      </c>
      <c r="AQ97" s="137"/>
      <c r="AR97" s="363">
        <v>4662.6</v>
      </c>
      <c r="AS97" s="363">
        <v>1</v>
      </c>
      <c r="AT97" s="227"/>
      <c r="AU97" s="170" t="s">
        <v>556</v>
      </c>
      <c r="AV97" s="137"/>
      <c r="AW97" s="287">
        <v>4730.17</v>
      </c>
      <c r="AX97" s="287">
        <v>1</v>
      </c>
    </row>
    <row r="98" spans="2:50" s="94" customFormat="1" ht="12.75">
      <c r="B98" s="170" t="s">
        <v>486</v>
      </c>
      <c r="C98" s="227"/>
      <c r="D98" s="372">
        <v>5900.43</v>
      </c>
      <c r="E98" s="372">
        <v>1</v>
      </c>
      <c r="F98" s="92"/>
      <c r="G98" s="170" t="s">
        <v>500</v>
      </c>
      <c r="H98" s="137"/>
      <c r="I98" s="365">
        <v>209060.43</v>
      </c>
      <c r="J98" s="365">
        <v>1</v>
      </c>
      <c r="L98" s="170" t="s">
        <v>330</v>
      </c>
      <c r="M98" s="357"/>
      <c r="N98" s="365">
        <v>183873</v>
      </c>
      <c r="O98" s="365">
        <v>1</v>
      </c>
      <c r="Q98" s="170"/>
      <c r="R98" s="156"/>
      <c r="S98" s="213"/>
      <c r="T98" s="214"/>
      <c r="U98" s="170"/>
      <c r="V98" s="170" t="s">
        <v>508</v>
      </c>
      <c r="W98" s="227"/>
      <c r="X98" s="364">
        <v>10595</v>
      </c>
      <c r="Y98" s="364">
        <v>1</v>
      </c>
      <c r="AA98" s="170" t="s">
        <v>521</v>
      </c>
      <c r="AB98" s="137"/>
      <c r="AC98" s="365">
        <v>149071.11</v>
      </c>
      <c r="AD98" s="365">
        <v>1</v>
      </c>
      <c r="AF98" s="126" t="s">
        <v>379</v>
      </c>
      <c r="AG98" s="227"/>
      <c r="AH98" s="367">
        <v>341</v>
      </c>
      <c r="AI98" s="367">
        <v>1</v>
      </c>
      <c r="AK98" s="170"/>
      <c r="AL98" s="156"/>
      <c r="AM98" s="213"/>
      <c r="AN98" s="214"/>
      <c r="AP98" s="170" t="s">
        <v>532</v>
      </c>
      <c r="AQ98" s="137"/>
      <c r="AR98" s="363">
        <v>4662.6</v>
      </c>
      <c r="AS98" s="363">
        <v>1</v>
      </c>
      <c r="AT98" s="227"/>
      <c r="AU98" s="170" t="s">
        <v>557</v>
      </c>
      <c r="AV98" s="137"/>
      <c r="AW98" s="287">
        <v>4430.02</v>
      </c>
      <c r="AX98" s="287">
        <v>1</v>
      </c>
    </row>
    <row r="99" spans="2:50" s="94" customFormat="1" ht="12.75">
      <c r="B99" s="170" t="s">
        <v>487</v>
      </c>
      <c r="C99" s="227"/>
      <c r="D99" s="372">
        <v>24470.76</v>
      </c>
      <c r="E99" s="372">
        <v>1</v>
      </c>
      <c r="G99" s="157"/>
      <c r="H99" s="158"/>
      <c r="I99" s="159"/>
      <c r="J99" s="291"/>
      <c r="L99" s="256" t="s">
        <v>340</v>
      </c>
      <c r="M99" s="358"/>
      <c r="N99" s="365">
        <v>236105</v>
      </c>
      <c r="O99" s="365">
        <v>1</v>
      </c>
      <c r="Q99" s="170"/>
      <c r="R99" s="156"/>
      <c r="S99" s="213"/>
      <c r="T99" s="214"/>
      <c r="U99" s="170"/>
      <c r="V99" s="170" t="s">
        <v>509</v>
      </c>
      <c r="W99" s="227"/>
      <c r="X99" s="364">
        <v>23640</v>
      </c>
      <c r="Y99" s="364">
        <v>1</v>
      </c>
      <c r="AA99" s="157"/>
      <c r="AB99" s="158"/>
      <c r="AC99" s="159"/>
      <c r="AD99" s="299"/>
      <c r="AF99" s="157"/>
      <c r="AG99" s="265"/>
      <c r="AH99" s="232"/>
      <c r="AI99" s="291"/>
      <c r="AK99" s="170"/>
      <c r="AL99" s="156"/>
      <c r="AM99" s="213"/>
      <c r="AN99" s="214"/>
      <c r="AP99" s="170" t="s">
        <v>533</v>
      </c>
      <c r="AQ99" s="137"/>
      <c r="AR99" s="364">
        <v>18489.86</v>
      </c>
      <c r="AS99" s="364">
        <v>1</v>
      </c>
      <c r="AT99" s="227"/>
      <c r="AU99" s="170" t="s">
        <v>481</v>
      </c>
      <c r="AV99" s="137"/>
      <c r="AW99" s="288">
        <v>1243.78</v>
      </c>
      <c r="AX99" s="288">
        <v>1</v>
      </c>
    </row>
    <row r="100" spans="2:50" s="94" customFormat="1" ht="12.75">
      <c r="B100" s="170" t="s">
        <v>488</v>
      </c>
      <c r="C100" s="92"/>
      <c r="D100" s="372">
        <v>28483.71</v>
      </c>
      <c r="E100" s="372">
        <v>1</v>
      </c>
      <c r="L100" s="181"/>
      <c r="M100" s="182"/>
      <c r="N100" s="240"/>
      <c r="O100" s="355"/>
      <c r="Q100" s="157"/>
      <c r="R100" s="158"/>
      <c r="S100" s="159"/>
      <c r="T100" s="160"/>
      <c r="U100" s="170"/>
      <c r="V100" s="170" t="s">
        <v>510</v>
      </c>
      <c r="W100" s="227"/>
      <c r="X100" s="365">
        <v>156115</v>
      </c>
      <c r="Y100" s="365">
        <v>1</v>
      </c>
      <c r="AK100" s="157"/>
      <c r="AL100" s="158"/>
      <c r="AM100" s="159"/>
      <c r="AN100" s="160"/>
      <c r="AP100" s="170" t="s">
        <v>534</v>
      </c>
      <c r="AQ100" s="156"/>
      <c r="AR100" s="364">
        <v>21672.35</v>
      </c>
      <c r="AS100" s="364">
        <v>1</v>
      </c>
      <c r="AT100" s="92"/>
      <c r="AU100" s="170" t="s">
        <v>480</v>
      </c>
      <c r="AV100" s="156"/>
      <c r="AW100" s="288">
        <v>1172.24</v>
      </c>
      <c r="AX100" s="288">
        <v>1</v>
      </c>
    </row>
    <row r="101" spans="2:50" ht="12.75">
      <c r="B101" s="170" t="s">
        <v>489</v>
      </c>
      <c r="C101" s="244"/>
      <c r="D101" s="373">
        <v>57128.91</v>
      </c>
      <c r="E101" s="373">
        <v>1</v>
      </c>
      <c r="V101" s="256" t="s">
        <v>511</v>
      </c>
      <c r="W101" s="309"/>
      <c r="X101" s="368">
        <v>242815</v>
      </c>
      <c r="Y101" s="368">
        <v>1</v>
      </c>
      <c r="AP101" s="170" t="s">
        <v>535</v>
      </c>
      <c r="AQ101" s="351"/>
      <c r="AR101" s="364">
        <v>49135.47</v>
      </c>
      <c r="AS101" s="364">
        <v>1</v>
      </c>
      <c r="AT101" s="92"/>
      <c r="AU101" s="170" t="s">
        <v>392</v>
      </c>
      <c r="AV101" s="156"/>
      <c r="AW101" s="288">
        <v>1034.29</v>
      </c>
      <c r="AX101" s="288">
        <v>1</v>
      </c>
    </row>
    <row r="102" spans="2:50" ht="12.75">
      <c r="B102" s="170" t="s">
        <v>490</v>
      </c>
      <c r="C102" s="244"/>
      <c r="D102" s="373">
        <v>58038.49</v>
      </c>
      <c r="E102" s="373">
        <v>1</v>
      </c>
      <c r="V102" s="247"/>
      <c r="W102" s="248"/>
      <c r="X102" s="248"/>
      <c r="Y102" s="250"/>
      <c r="AA102" s="203"/>
      <c r="AP102" s="170" t="s">
        <v>536</v>
      </c>
      <c r="AQ102" s="351"/>
      <c r="AR102" s="365">
        <v>312901.87</v>
      </c>
      <c r="AS102" s="365">
        <v>1</v>
      </c>
      <c r="AT102" s="92"/>
      <c r="AU102" s="170" t="s">
        <v>393</v>
      </c>
      <c r="AV102" s="156"/>
      <c r="AW102" s="288">
        <v>744.98</v>
      </c>
      <c r="AX102" s="288">
        <v>1</v>
      </c>
    </row>
    <row r="103" spans="2:50" ht="12.75">
      <c r="B103" s="256" t="s">
        <v>491</v>
      </c>
      <c r="C103" s="245"/>
      <c r="D103" s="373">
        <v>58490.54</v>
      </c>
      <c r="E103" s="373">
        <v>1</v>
      </c>
      <c r="AP103" s="170" t="s">
        <v>537</v>
      </c>
      <c r="AQ103" s="351"/>
      <c r="AR103" s="365">
        <v>334416.85</v>
      </c>
      <c r="AS103" s="365">
        <v>1</v>
      </c>
      <c r="AT103" s="92"/>
      <c r="AU103" s="170" t="s">
        <v>295</v>
      </c>
      <c r="AV103" s="156"/>
      <c r="AW103" s="289">
        <v>677.97</v>
      </c>
      <c r="AX103" s="289">
        <v>1</v>
      </c>
    </row>
    <row r="104" spans="2:50" ht="12.75">
      <c r="B104" s="247"/>
      <c r="C104" s="248"/>
      <c r="D104" s="249"/>
      <c r="E104" s="348"/>
      <c r="AP104" s="247"/>
      <c r="AQ104" s="250"/>
      <c r="AR104" s="249"/>
      <c r="AS104" s="348"/>
      <c r="AT104" s="170"/>
      <c r="AU104" s="170" t="s">
        <v>558</v>
      </c>
      <c r="AV104" s="156"/>
      <c r="AW104" s="292">
        <v>356.17</v>
      </c>
      <c r="AX104" s="292">
        <v>1</v>
      </c>
    </row>
    <row r="105" spans="47:50" ht="12.75">
      <c r="AU105" s="157"/>
      <c r="AV105" s="158"/>
      <c r="AW105" s="159"/>
      <c r="AX105" s="291"/>
    </row>
    <row r="106" spans="2:50" s="94" customFormat="1" ht="12.75">
      <c r="B106" s="217" t="s">
        <v>451</v>
      </c>
      <c r="C106" s="182"/>
      <c r="D106" s="219">
        <f>SUMPRODUCT(D88:D104,E88:E104)</f>
        <v>255796.36000000002</v>
      </c>
      <c r="G106" s="217" t="s">
        <v>451</v>
      </c>
      <c r="H106" s="182"/>
      <c r="I106" s="219">
        <f>SUMPRODUCT(I88:I104,J88:J104)</f>
        <v>472812.82</v>
      </c>
      <c r="L106" s="217" t="s">
        <v>451</v>
      </c>
      <c r="M106" s="182"/>
      <c r="N106" s="219">
        <f>SUMPRODUCT(N88:N104,O88:O104)</f>
        <v>539564.5700000001</v>
      </c>
      <c r="Q106" s="217" t="s">
        <v>451</v>
      </c>
      <c r="R106" s="182"/>
      <c r="S106" s="219">
        <f>SUMPRODUCT(S88:S104,T88:T104)</f>
        <v>0</v>
      </c>
      <c r="V106" s="217" t="s">
        <v>451</v>
      </c>
      <c r="W106" s="182"/>
      <c r="X106" s="219">
        <f>SUMPRODUCT(X89:X101,Y89:Y101)</f>
        <v>442945</v>
      </c>
      <c r="AA106" s="217" t="s">
        <v>451</v>
      </c>
      <c r="AB106" s="182"/>
      <c r="AC106" s="219">
        <f>SUMPRODUCT(AC88:AC104,AD88:AD104)</f>
        <v>335792.6</v>
      </c>
      <c r="AF106" s="217" t="s">
        <v>451</v>
      </c>
      <c r="AG106" s="182"/>
      <c r="AH106" s="219">
        <f>SUMPRODUCT(AH88:AH104,AI88:AI104)</f>
        <v>675191.95</v>
      </c>
      <c r="AK106" s="217" t="s">
        <v>451</v>
      </c>
      <c r="AL106" s="182"/>
      <c r="AM106" s="219">
        <f>SUMPRODUCT(AM88:AM104,AN88:AN104)</f>
        <v>0</v>
      </c>
      <c r="AP106" s="217" t="s">
        <v>451</v>
      </c>
      <c r="AQ106" s="182"/>
      <c r="AR106" s="219">
        <f>SUMPRODUCT(AR88:AR104,AS88:AS104)</f>
        <v>761016.09</v>
      </c>
      <c r="AU106" s="217" t="s">
        <v>451</v>
      </c>
      <c r="AV106" s="182"/>
      <c r="AW106" s="219">
        <f>SUMPRODUCT(AW88:AW104,AX88:AX104)</f>
        <v>319896.0999999999</v>
      </c>
      <c r="AX106" s="91"/>
    </row>
    <row r="108" spans="1:12" s="199" customFormat="1" ht="12.75">
      <c r="A108" s="199" t="s">
        <v>99</v>
      </c>
      <c r="B108" s="83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</row>
    <row r="109" s="94" customFormat="1" ht="12.75">
      <c r="A109" s="530"/>
    </row>
    <row r="110" spans="2:47" s="94" customFormat="1" ht="12.75">
      <c r="B110" s="171" t="s">
        <v>146</v>
      </c>
      <c r="G110" s="171" t="s">
        <v>29</v>
      </c>
      <c r="L110" s="171" t="s">
        <v>147</v>
      </c>
      <c r="Q110" s="171" t="s">
        <v>288</v>
      </c>
      <c r="V110" s="171" t="s">
        <v>148</v>
      </c>
      <c r="AA110" s="171" t="s">
        <v>149</v>
      </c>
      <c r="AF110" s="171" t="s">
        <v>150</v>
      </c>
      <c r="AK110" s="121" t="s">
        <v>195</v>
      </c>
      <c r="AL110" s="86"/>
      <c r="AM110" s="86"/>
      <c r="AN110" s="86"/>
      <c r="AP110" s="171" t="s">
        <v>151</v>
      </c>
      <c r="AU110" s="171" t="s">
        <v>30</v>
      </c>
    </row>
    <row r="111" spans="2:50" s="94" customFormat="1" ht="12.75">
      <c r="B111" s="124" t="s">
        <v>476</v>
      </c>
      <c r="C111" s="182"/>
      <c r="D111" s="183" t="s">
        <v>402</v>
      </c>
      <c r="E111" s="184" t="s">
        <v>403</v>
      </c>
      <c r="G111" s="124" t="s">
        <v>476</v>
      </c>
      <c r="H111" s="182"/>
      <c r="I111" s="183" t="s">
        <v>402</v>
      </c>
      <c r="J111" s="184" t="s">
        <v>403</v>
      </c>
      <c r="L111" s="124" t="s">
        <v>476</v>
      </c>
      <c r="M111" s="182"/>
      <c r="N111" s="183" t="s">
        <v>402</v>
      </c>
      <c r="O111" s="184" t="s">
        <v>403</v>
      </c>
      <c r="Q111" s="316"/>
      <c r="R111" s="220"/>
      <c r="S111" s="269"/>
      <c r="T111" s="270"/>
      <c r="V111" s="124" t="s">
        <v>476</v>
      </c>
      <c r="W111" s="182"/>
      <c r="X111" s="183" t="s">
        <v>402</v>
      </c>
      <c r="Y111" s="184" t="s">
        <v>403</v>
      </c>
      <c r="AA111" s="124" t="s">
        <v>476</v>
      </c>
      <c r="AB111" s="182"/>
      <c r="AC111" s="183" t="s">
        <v>402</v>
      </c>
      <c r="AD111" s="184" t="s">
        <v>403</v>
      </c>
      <c r="AF111" s="124" t="s">
        <v>476</v>
      </c>
      <c r="AG111" s="182"/>
      <c r="AH111" s="183" t="s">
        <v>402</v>
      </c>
      <c r="AI111" s="184" t="s">
        <v>403</v>
      </c>
      <c r="AK111" s="316"/>
      <c r="AL111" s="220"/>
      <c r="AM111" s="269"/>
      <c r="AN111" s="270"/>
      <c r="AP111" s="124" t="s">
        <v>476</v>
      </c>
      <c r="AQ111" s="182"/>
      <c r="AR111" s="183" t="s">
        <v>402</v>
      </c>
      <c r="AS111" s="184" t="s">
        <v>403</v>
      </c>
      <c r="AU111" s="124" t="s">
        <v>476</v>
      </c>
      <c r="AV111" s="182"/>
      <c r="AW111" s="183" t="s">
        <v>402</v>
      </c>
      <c r="AX111" s="184" t="s">
        <v>403</v>
      </c>
    </row>
    <row r="112" spans="2:50" s="94" customFormat="1" ht="12.75">
      <c r="B112" s="175" t="s">
        <v>404</v>
      </c>
      <c r="C112" s="96"/>
      <c r="D112" s="386">
        <f>D88</f>
        <v>424.02</v>
      </c>
      <c r="E112" s="387">
        <f>E88</f>
        <v>1</v>
      </c>
      <c r="G112" s="175" t="s">
        <v>404</v>
      </c>
      <c r="H112" s="96"/>
      <c r="I112" s="386">
        <f>I88</f>
        <v>299.97</v>
      </c>
      <c r="J112" s="387">
        <f>J88</f>
        <v>1</v>
      </c>
      <c r="L112" s="175" t="s">
        <v>404</v>
      </c>
      <c r="M112" s="96"/>
      <c r="N112" s="386">
        <f>N88</f>
        <v>348.79</v>
      </c>
      <c r="O112" s="387">
        <f>O88</f>
        <v>1</v>
      </c>
      <c r="Q112" s="317"/>
      <c r="R112" s="31"/>
      <c r="S112" s="271"/>
      <c r="T112" s="272"/>
      <c r="V112" s="175" t="s">
        <v>404</v>
      </c>
      <c r="W112" s="96"/>
      <c r="X112" s="386">
        <f>X89</f>
        <v>310</v>
      </c>
      <c r="Y112" s="387">
        <f>Y89</f>
        <v>1</v>
      </c>
      <c r="AA112" s="175" t="s">
        <v>404</v>
      </c>
      <c r="AB112" s="96"/>
      <c r="AC112" s="386">
        <f>AC88</f>
        <v>359.19</v>
      </c>
      <c r="AD112" s="387">
        <f>AD88</f>
        <v>1</v>
      </c>
      <c r="AF112" s="175" t="s">
        <v>404</v>
      </c>
      <c r="AG112" s="96"/>
      <c r="AH112" s="386">
        <f>AH98</f>
        <v>341</v>
      </c>
      <c r="AI112" s="387">
        <f>AI98</f>
        <v>1</v>
      </c>
      <c r="AK112" s="317"/>
      <c r="AL112" s="31"/>
      <c r="AM112" s="271"/>
      <c r="AN112" s="272"/>
      <c r="AP112" s="175" t="s">
        <v>404</v>
      </c>
      <c r="AQ112" s="96"/>
      <c r="AR112" s="386">
        <f>AR88</f>
        <v>366.84</v>
      </c>
      <c r="AS112" s="387">
        <f>AS88</f>
        <v>1</v>
      </c>
      <c r="AU112" s="175" t="s">
        <v>404</v>
      </c>
      <c r="AV112" s="96"/>
      <c r="AW112" s="386">
        <f>AW104</f>
        <v>356.17</v>
      </c>
      <c r="AX112" s="387">
        <f>AX104</f>
        <v>1</v>
      </c>
    </row>
    <row r="113" spans="2:50" s="94" customFormat="1" ht="12.75">
      <c r="B113" s="175" t="s">
        <v>405</v>
      </c>
      <c r="C113" s="96"/>
      <c r="D113" s="388">
        <f>D89</f>
        <v>604.57</v>
      </c>
      <c r="E113" s="389">
        <f>E89</f>
        <v>1</v>
      </c>
      <c r="G113" s="175" t="s">
        <v>405</v>
      </c>
      <c r="H113" s="96"/>
      <c r="I113" s="388">
        <f>I89</f>
        <v>569.5</v>
      </c>
      <c r="J113" s="389">
        <f>J89</f>
        <v>1</v>
      </c>
      <c r="L113" s="175" t="s">
        <v>405</v>
      </c>
      <c r="M113" s="96"/>
      <c r="N113" s="388">
        <f>N89</f>
        <v>510.18</v>
      </c>
      <c r="O113" s="389">
        <f>O89</f>
        <v>1</v>
      </c>
      <c r="Q113" s="317"/>
      <c r="R113" s="31"/>
      <c r="S113" s="273"/>
      <c r="T113" s="274"/>
      <c r="V113" s="175" t="s">
        <v>405</v>
      </c>
      <c r="W113" s="96"/>
      <c r="X113" s="388">
        <f>X90</f>
        <v>595</v>
      </c>
      <c r="Y113" s="389">
        <f>Y90+Y91</f>
        <v>2</v>
      </c>
      <c r="AA113" s="175" t="s">
        <v>405</v>
      </c>
      <c r="AB113" s="96"/>
      <c r="AC113" s="388">
        <f>AC89</f>
        <v>466.36</v>
      </c>
      <c r="AD113" s="389">
        <f>AD89</f>
        <v>1</v>
      </c>
      <c r="AF113" s="175" t="s">
        <v>405</v>
      </c>
      <c r="AG113" s="96"/>
      <c r="AH113" s="388">
        <f>AH88</f>
        <v>565.95</v>
      </c>
      <c r="AI113" s="389">
        <f>AI88</f>
        <v>1</v>
      </c>
      <c r="AK113" s="317"/>
      <c r="AL113" s="31"/>
      <c r="AM113" s="273"/>
      <c r="AN113" s="274"/>
      <c r="AP113" s="175" t="s">
        <v>405</v>
      </c>
      <c r="AQ113" s="96"/>
      <c r="AR113" s="388">
        <f>AR89</f>
        <v>620.97</v>
      </c>
      <c r="AS113" s="389">
        <f>AS89</f>
        <v>1</v>
      </c>
      <c r="AU113" s="175" t="s">
        <v>405</v>
      </c>
      <c r="AV113" s="96"/>
      <c r="AW113" s="388">
        <f>AW103</f>
        <v>677.97</v>
      </c>
      <c r="AX113" s="389">
        <f>AX103</f>
        <v>1</v>
      </c>
    </row>
    <row r="114" spans="2:50" s="94" customFormat="1" ht="12.75">
      <c r="B114" s="175" t="s">
        <v>406</v>
      </c>
      <c r="C114" s="96"/>
      <c r="D114" s="390">
        <f>D90</f>
        <v>969.47</v>
      </c>
      <c r="E114" s="391">
        <f>SUM(E90:E93)</f>
        <v>4</v>
      </c>
      <c r="G114" s="175" t="s">
        <v>406</v>
      </c>
      <c r="H114" s="96"/>
      <c r="I114" s="390">
        <f>IF(J114&lt;&gt;0,SUMPRODUCT(I90:I93,J90:J93)/SUM(J90:J93),0)</f>
        <v>935.2900000000001</v>
      </c>
      <c r="J114" s="391">
        <f>SUM(J90:J93)</f>
        <v>4</v>
      </c>
      <c r="L114" s="175" t="s">
        <v>406</v>
      </c>
      <c r="M114" s="96"/>
      <c r="N114" s="390">
        <f>IF(O114&lt;&gt;0,SUMPRODUCT(N90:N92,O90:O92)/SUM(O90:O92),0)</f>
        <v>928.8666666666667</v>
      </c>
      <c r="O114" s="391">
        <f>SUM(O90:O92)</f>
        <v>3</v>
      </c>
      <c r="Q114" s="317"/>
      <c r="R114" s="31"/>
      <c r="S114" s="273"/>
      <c r="T114" s="274"/>
      <c r="V114" s="175" t="s">
        <v>406</v>
      </c>
      <c r="W114" s="96"/>
      <c r="X114" s="390">
        <f>IF(Y114&lt;&gt;0,SUMPRODUCT(X92:X95,Y92:Y95)/SUM(Y92:Y95),0)</f>
        <v>795</v>
      </c>
      <c r="Y114" s="391">
        <f>SUM(Y92:Y95)</f>
        <v>4</v>
      </c>
      <c r="AA114" s="175" t="s">
        <v>406</v>
      </c>
      <c r="AB114" s="96"/>
      <c r="AC114" s="390">
        <f>IF(AD114&lt;&gt;0,SUMPRODUCT(AC90:AC91,AD90:AD91)/SUM(AD90:AD91),0)</f>
        <v>1221.08</v>
      </c>
      <c r="AD114" s="391">
        <f>SUM(AD90:AD91)</f>
        <v>2</v>
      </c>
      <c r="AF114" s="175" t="s">
        <v>406</v>
      </c>
      <c r="AG114" s="96"/>
      <c r="AH114" s="390">
        <f>IF(AI114&lt;&gt;0,SUMPRODUCT(AH89:AH90,AI89:AI90)/SUM(AI89:AI90),0)</f>
        <v>968.5</v>
      </c>
      <c r="AI114" s="391">
        <f>SUM(AI89:AI90)</f>
        <v>2</v>
      </c>
      <c r="AK114" s="317"/>
      <c r="AL114" s="31"/>
      <c r="AM114" s="273"/>
      <c r="AN114" s="274"/>
      <c r="AP114" s="175" t="s">
        <v>406</v>
      </c>
      <c r="AQ114" s="96"/>
      <c r="AR114" s="390">
        <f>IF(AS114&lt;&gt;0,SUMPRODUCT(AR90:AR93,AS90:AS93)/SUM(AS90:AS93),0)</f>
        <v>953.2524999999999</v>
      </c>
      <c r="AS114" s="391">
        <f>SUM(AS90:AS93)</f>
        <v>4</v>
      </c>
      <c r="AU114" s="175" t="s">
        <v>406</v>
      </c>
      <c r="AV114" s="96"/>
      <c r="AW114" s="390">
        <f>SUMPRODUCT(AW99:AW102,AX99:AX102)/SUM(AX99:AX102)</f>
        <v>1048.8225</v>
      </c>
      <c r="AX114" s="391">
        <f>SUM(AX99:AX102)</f>
        <v>4</v>
      </c>
    </row>
    <row r="115" spans="2:50" s="94" customFormat="1" ht="12.75">
      <c r="B115" s="175" t="s">
        <v>394</v>
      </c>
      <c r="C115" s="96"/>
      <c r="D115" s="392">
        <f>IF(E115&lt;&gt;0,SUMPRODUCT(D94:D100,E94:E100)/SUM(E94:E100),0)</f>
        <v>11033.135714285714</v>
      </c>
      <c r="E115" s="393">
        <f>SUM(E94:E100)</f>
        <v>7</v>
      </c>
      <c r="G115" s="175" t="s">
        <v>394</v>
      </c>
      <c r="H115" s="96"/>
      <c r="I115" s="392">
        <f>I94</f>
        <v>3860.26</v>
      </c>
      <c r="J115" s="393">
        <f>J94</f>
        <v>1</v>
      </c>
      <c r="L115" s="175" t="s">
        <v>394</v>
      </c>
      <c r="M115" s="96"/>
      <c r="N115" s="392">
        <f>IF(O115&lt;&gt;0,SUMPRODUCT(N93:N94,O93:O94)/SUM(O93:O94),0)</f>
        <v>2887.5</v>
      </c>
      <c r="O115" s="393">
        <f>O94+O93</f>
        <v>2</v>
      </c>
      <c r="Q115" s="317"/>
      <c r="R115" s="31"/>
      <c r="S115" s="273"/>
      <c r="T115" s="274"/>
      <c r="V115" s="175" t="s">
        <v>394</v>
      </c>
      <c r="W115" s="96"/>
      <c r="X115" s="392">
        <f>IF(Y115&lt;&gt;0,SUMPRODUCT(X96:X97,Y96:Y97)/SUM(Y96:Y97),0)</f>
        <v>2550</v>
      </c>
      <c r="Y115" s="393">
        <f>SUM(Y96:Y97)</f>
        <v>2</v>
      </c>
      <c r="AA115" s="175" t="s">
        <v>394</v>
      </c>
      <c r="AB115" s="96"/>
      <c r="AC115" s="392">
        <f>IF(AD115&lt;&gt;0,SUMPRODUCT(AC92:AC93,AD92:AD93)/SUM(AD92:AD93),0)</f>
        <v>3555.775</v>
      </c>
      <c r="AD115" s="393">
        <f>AD93+AD92</f>
        <v>2</v>
      </c>
      <c r="AF115" s="175" t="s">
        <v>394</v>
      </c>
      <c r="AG115" s="96"/>
      <c r="AH115" s="392">
        <f>IF(AI115&lt;&gt;0,SUMPRODUCT(AH91:AH92,AI91:AI92)/SUM(AI91:AI92),0)</f>
        <v>4050</v>
      </c>
      <c r="AI115" s="393">
        <f>AI91+AI92</f>
        <v>2</v>
      </c>
      <c r="AK115" s="317"/>
      <c r="AL115" s="31"/>
      <c r="AM115" s="273"/>
      <c r="AN115" s="274"/>
      <c r="AP115" s="175" t="s">
        <v>394</v>
      </c>
      <c r="AQ115" s="96"/>
      <c r="AR115" s="392">
        <f>IF(AS115&lt;&gt;0,SUMPRODUCT(AR94:AR98,AS94:AS98)/SUM(AS94:AS98),0)</f>
        <v>3919.7740000000003</v>
      </c>
      <c r="AS115" s="393">
        <f>SUM(AS94:AS98)</f>
        <v>5</v>
      </c>
      <c r="AU115" s="175" t="s">
        <v>394</v>
      </c>
      <c r="AV115" s="96"/>
      <c r="AW115" s="392">
        <f>SUMPRODUCT(AW93:AW98,AX93:AX98)/SUM(AX93:AX98)</f>
        <v>5302.675</v>
      </c>
      <c r="AX115" s="393">
        <f>SUM(AX93:AX98)</f>
        <v>6</v>
      </c>
    </row>
    <row r="116" spans="2:50" s="94" customFormat="1" ht="12.75">
      <c r="B116" s="175" t="s">
        <v>397</v>
      </c>
      <c r="C116" s="96"/>
      <c r="D116" s="394">
        <f>IF(E116&lt;&gt;0,SUMPRODUCT(D101:D103,E101:E103)/SUM(E101:E103),0)</f>
        <v>57885.98</v>
      </c>
      <c r="E116" s="395">
        <f>SUM(E101:E103)</f>
        <v>3</v>
      </c>
      <c r="G116" s="175" t="s">
        <v>397</v>
      </c>
      <c r="H116" s="96"/>
      <c r="I116" s="394">
        <f>IF(J116&lt;&gt;0,SUMPRODUCT(I95:I96,J95:J96)/SUM(J95:J96),0)</f>
        <v>31846.945</v>
      </c>
      <c r="J116" s="395">
        <f>J95+J96</f>
        <v>2</v>
      </c>
      <c r="L116" s="175" t="s">
        <v>397</v>
      </c>
      <c r="M116" s="96"/>
      <c r="N116" s="394">
        <f>IF(O116&lt;&gt;0,SUMPRODUCT(N95:N97,O95:O97)/SUM(O95:O97),0)</f>
        <v>36722</v>
      </c>
      <c r="O116" s="395">
        <f>O95+O96+O97</f>
        <v>3</v>
      </c>
      <c r="Q116" s="317"/>
      <c r="R116" s="31"/>
      <c r="S116" s="273"/>
      <c r="T116" s="274"/>
      <c r="V116" s="175" t="s">
        <v>397</v>
      </c>
      <c r="W116" s="96"/>
      <c r="X116" s="394">
        <f>IF(Y116&lt;&gt;0,SUMPRODUCT(X98:X99,Y98:Y99)/SUM(Y98:Y99),0)</f>
        <v>17117.5</v>
      </c>
      <c r="Y116" s="395">
        <f>Y98+Y99</f>
        <v>2</v>
      </c>
      <c r="AA116" s="175" t="s">
        <v>397</v>
      </c>
      <c r="AB116" s="96"/>
      <c r="AC116" s="394">
        <f>IF(AD116&lt;&gt;0,SUMPRODUCT(AC94:AC96,AD94:AD96)/SUM(AD94:AD96),0)</f>
        <v>22824.8</v>
      </c>
      <c r="AD116" s="395">
        <f>AD95+AD96+AD94</f>
        <v>3</v>
      </c>
      <c r="AF116" s="175" t="s">
        <v>397</v>
      </c>
      <c r="AG116" s="96"/>
      <c r="AH116" s="394">
        <f>IF(AI116&lt;&gt;0,SUMPRODUCT(AH93:AH95,AI93:AI95)/SUM(AI93:AI95),0)</f>
        <v>33999.333333333336</v>
      </c>
      <c r="AI116" s="395">
        <f>AI95+AI93+AI94</f>
        <v>3</v>
      </c>
      <c r="AK116" s="317"/>
      <c r="AL116" s="31"/>
      <c r="AM116" s="273"/>
      <c r="AN116" s="274"/>
      <c r="AP116" s="175" t="s">
        <v>397</v>
      </c>
      <c r="AQ116" s="96"/>
      <c r="AR116" s="394">
        <f>IF(AS116&lt;&gt;0,SUMPRODUCT(AR99:AR101,AS99:AS101)/SUM(AS99:AS101),0)</f>
        <v>29765.89333333333</v>
      </c>
      <c r="AS116" s="395">
        <f>SUM(AS99:AS101)</f>
        <v>3</v>
      </c>
      <c r="AU116" s="175" t="s">
        <v>397</v>
      </c>
      <c r="AV116" s="96"/>
      <c r="AW116" s="394">
        <f>SUMPRODUCT(AW89:AW92,AX89:AX92)/SUM(AX89:AX92)</f>
        <v>26064.235</v>
      </c>
      <c r="AX116" s="395">
        <f>SUM(AX89:AX92)</f>
        <v>4</v>
      </c>
    </row>
    <row r="117" spans="2:50" s="94" customFormat="1" ht="12.75">
      <c r="B117" s="178" t="s">
        <v>400</v>
      </c>
      <c r="C117" s="195"/>
      <c r="D117" s="396"/>
      <c r="E117" s="397"/>
      <c r="G117" s="178" t="s">
        <v>400</v>
      </c>
      <c r="H117" s="195"/>
      <c r="I117" s="400">
        <f>IF(J117&lt;&gt;0,SUMPRODUCT(I97:I98,J97:J98)/SUM(J97:J98),0)</f>
        <v>200324.02</v>
      </c>
      <c r="J117" s="401">
        <f>J98+J97</f>
        <v>2</v>
      </c>
      <c r="L117" s="178" t="s">
        <v>400</v>
      </c>
      <c r="M117" s="195"/>
      <c r="N117" s="400">
        <f>IF(O117&lt;&gt;0,SUMPRODUCT(N98:N99,O98:O99)/SUM(O98:O99),0)</f>
        <v>209989</v>
      </c>
      <c r="O117" s="401">
        <f>O98+O99</f>
        <v>2</v>
      </c>
      <c r="Q117" s="318"/>
      <c r="R117" s="239"/>
      <c r="S117" s="275"/>
      <c r="T117" s="241"/>
      <c r="V117" s="178" t="s">
        <v>400</v>
      </c>
      <c r="W117" s="195"/>
      <c r="X117" s="400">
        <f>IF(Y117&lt;&gt;0,SUMPRODUCT(X100:X101,Y100:Y101)/SUM(Y100:Y101),0)</f>
        <v>199465</v>
      </c>
      <c r="Y117" s="401">
        <f>Y100+Y101</f>
        <v>2</v>
      </c>
      <c r="AA117" s="178" t="s">
        <v>400</v>
      </c>
      <c r="AB117" s="195"/>
      <c r="AC117" s="400">
        <f>IF(AD117&lt;&gt;0,SUMPRODUCT(AC97:AC98,AD97:AD98)/SUM(AD97:AD98),0)</f>
        <v>128469.47</v>
      </c>
      <c r="AD117" s="401">
        <f>AD98+AD97</f>
        <v>2</v>
      </c>
      <c r="AF117" s="178" t="s">
        <v>400</v>
      </c>
      <c r="AG117" s="195"/>
      <c r="AH117" s="400">
        <f>IF(AI117&lt;&gt;0,SUMPRODUCT(AH96:AH97,AI96:AI97)/SUM(AI96:AI97),0)</f>
        <v>281125</v>
      </c>
      <c r="AI117" s="401">
        <f>AI96+AI97</f>
        <v>2</v>
      </c>
      <c r="AK117" s="318"/>
      <c r="AL117" s="239"/>
      <c r="AM117" s="275"/>
      <c r="AN117" s="241"/>
      <c r="AP117" s="178" t="s">
        <v>400</v>
      </c>
      <c r="AQ117" s="195"/>
      <c r="AR117" s="400">
        <f>IF(AS117&lt;&gt;0,SUMPRODUCT(AR102:AR103,AS102:AS103)/SUM(AS102:AS103),0)</f>
        <v>323659.36</v>
      </c>
      <c r="AS117" s="401">
        <f>SUM(AS102:AS103)</f>
        <v>2</v>
      </c>
      <c r="AU117" s="178" t="s">
        <v>400</v>
      </c>
      <c r="AV117" s="195"/>
      <c r="AW117" s="396">
        <f>AW88</f>
        <v>178593.68</v>
      </c>
      <c r="AX117" s="397">
        <f>AX88</f>
        <v>1</v>
      </c>
    </row>
    <row r="118" spans="2:50" s="86" customFormat="1" ht="12.75">
      <c r="B118" s="223" t="s">
        <v>451</v>
      </c>
      <c r="C118" s="220"/>
      <c r="D118" s="398">
        <f>SUMPRODUCT(D112:D117,E112:E117)</f>
        <v>255796.36</v>
      </c>
      <c r="E118" s="399"/>
      <c r="G118" s="223" t="s">
        <v>451</v>
      </c>
      <c r="H118" s="220"/>
      <c r="I118" s="398">
        <f>SUMPRODUCT(I112:I117,J112:J117)</f>
        <v>472812.81999999995</v>
      </c>
      <c r="J118" s="399"/>
      <c r="L118" s="223" t="s">
        <v>451</v>
      </c>
      <c r="M118" s="220"/>
      <c r="N118" s="398">
        <f>SUMPRODUCT(N112:N117,O112:O117)</f>
        <v>539564.5700000001</v>
      </c>
      <c r="O118" s="399"/>
      <c r="Q118" s="223" t="s">
        <v>451</v>
      </c>
      <c r="R118" s="220"/>
      <c r="S118" s="222">
        <f>SUMPRODUCT(S112:S117,T112:T117)</f>
        <v>0</v>
      </c>
      <c r="T118" s="221"/>
      <c r="V118" s="223" t="s">
        <v>451</v>
      </c>
      <c r="W118" s="220"/>
      <c r="X118" s="398">
        <f>SUMPRODUCT(X112:X117,Y112:Y117)</f>
        <v>442945</v>
      </c>
      <c r="Y118" s="399"/>
      <c r="AA118" s="223" t="s">
        <v>451</v>
      </c>
      <c r="AB118" s="220"/>
      <c r="AC118" s="398">
        <f>SUMPRODUCT(AC112:AC117,AD112:AD117)</f>
        <v>335792.6</v>
      </c>
      <c r="AD118" s="399"/>
      <c r="AF118" s="223" t="s">
        <v>451</v>
      </c>
      <c r="AG118" s="220"/>
      <c r="AH118" s="398">
        <f>SUMPRODUCT(AH112:AH117,AI112:AI117)</f>
        <v>675191.95</v>
      </c>
      <c r="AI118" s="399"/>
      <c r="AK118" s="223" t="s">
        <v>451</v>
      </c>
      <c r="AL118" s="220"/>
      <c r="AM118" s="222">
        <f>SUMPRODUCT(AM112:AM117,AN112:AN117)</f>
        <v>0</v>
      </c>
      <c r="AN118" s="221"/>
      <c r="AP118" s="223" t="s">
        <v>451</v>
      </c>
      <c r="AQ118" s="220"/>
      <c r="AR118" s="398">
        <f>SUMPRODUCT(AR112:AR117,AS112:AS117)</f>
        <v>761016.09</v>
      </c>
      <c r="AS118" s="399"/>
      <c r="AU118" s="223" t="s">
        <v>451</v>
      </c>
      <c r="AV118" s="220"/>
      <c r="AW118" s="398">
        <f>SUMPRODUCT(AW112:AW117,AX112:AX117)</f>
        <v>319896.1</v>
      </c>
      <c r="AX118" s="399"/>
    </row>
    <row r="119" spans="2:44" ht="12.75">
      <c r="B119" s="94"/>
      <c r="C119" s="94"/>
      <c r="D119" s="94"/>
      <c r="E119" s="94"/>
      <c r="S119" s="94"/>
      <c r="T119" s="94"/>
      <c r="V119" s="94"/>
      <c r="W119" s="94"/>
      <c r="X119" s="94"/>
      <c r="Y119" s="94"/>
      <c r="Z119" s="94"/>
      <c r="AK119" s="94"/>
      <c r="AL119" s="94"/>
      <c r="AM119" s="94"/>
      <c r="AN119" s="94"/>
      <c r="AO119" s="94"/>
      <c r="AP119" s="94"/>
      <c r="AQ119" s="94"/>
      <c r="AR119" s="94"/>
    </row>
    <row r="120" spans="1:12" s="199" customFormat="1" ht="12.75">
      <c r="A120" s="199" t="s">
        <v>559</v>
      </c>
      <c r="B120" s="83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</row>
    <row r="121" spans="1:6" ht="12.75">
      <c r="A121" s="224"/>
      <c r="B121" s="120"/>
      <c r="C121" s="120"/>
      <c r="D121" s="120"/>
      <c r="E121" s="120"/>
      <c r="F121" s="120"/>
    </row>
    <row r="122" spans="2:47" s="94" customFormat="1" ht="15.75">
      <c r="B122" s="281" t="s">
        <v>146</v>
      </c>
      <c r="C122" s="86"/>
      <c r="D122" s="86"/>
      <c r="E122" s="86"/>
      <c r="F122" s="86"/>
      <c r="G122" s="122" t="s">
        <v>29</v>
      </c>
      <c r="L122" s="122" t="s">
        <v>147</v>
      </c>
      <c r="Q122" s="122" t="s">
        <v>288</v>
      </c>
      <c r="V122" s="122" t="s">
        <v>148</v>
      </c>
      <c r="AA122" s="122" t="s">
        <v>149</v>
      </c>
      <c r="AF122" s="281" t="s">
        <v>150</v>
      </c>
      <c r="AK122" s="122" t="s">
        <v>195</v>
      </c>
      <c r="AP122" s="122" t="s">
        <v>151</v>
      </c>
      <c r="AU122" s="123" t="s">
        <v>30</v>
      </c>
    </row>
    <row r="123" spans="2:50" s="94" customFormat="1" ht="12.75">
      <c r="B123" s="124" t="s">
        <v>492</v>
      </c>
      <c r="C123" s="125"/>
      <c r="D123" s="124" t="s">
        <v>402</v>
      </c>
      <c r="E123" s="312" t="s">
        <v>403</v>
      </c>
      <c r="G123" s="124" t="s">
        <v>492</v>
      </c>
      <c r="H123" s="125"/>
      <c r="I123" s="183" t="s">
        <v>402</v>
      </c>
      <c r="J123" s="356" t="s">
        <v>403</v>
      </c>
      <c r="L123" s="124" t="s">
        <v>492</v>
      </c>
      <c r="M123" s="125"/>
      <c r="N123" s="183" t="s">
        <v>402</v>
      </c>
      <c r="O123" s="293" t="s">
        <v>403</v>
      </c>
      <c r="Q123" s="124"/>
      <c r="R123" s="125"/>
      <c r="S123" s="269"/>
      <c r="T123" s="270"/>
      <c r="V123" s="225" t="s">
        <v>492</v>
      </c>
      <c r="W123" s="310"/>
      <c r="X123" s="296" t="s">
        <v>402</v>
      </c>
      <c r="Y123" s="293" t="s">
        <v>403</v>
      </c>
      <c r="AA123" s="124" t="s">
        <v>492</v>
      </c>
      <c r="AB123" s="125"/>
      <c r="AC123" s="183" t="s">
        <v>402</v>
      </c>
      <c r="AD123" s="293" t="s">
        <v>403</v>
      </c>
      <c r="AF123" s="124" t="s">
        <v>492</v>
      </c>
      <c r="AG123" s="125"/>
      <c r="AH123" s="183" t="s">
        <v>402</v>
      </c>
      <c r="AI123" s="293" t="s">
        <v>403</v>
      </c>
      <c r="AK123" s="124"/>
      <c r="AL123" s="125"/>
      <c r="AM123" s="269"/>
      <c r="AN123" s="270"/>
      <c r="AP123" s="124" t="s">
        <v>492</v>
      </c>
      <c r="AQ123" s="125"/>
      <c r="AR123" s="183" t="s">
        <v>402</v>
      </c>
      <c r="AS123" s="293" t="s">
        <v>403</v>
      </c>
      <c r="AU123" s="124" t="s">
        <v>492</v>
      </c>
      <c r="AV123" s="125"/>
      <c r="AW123" s="183" t="s">
        <v>402</v>
      </c>
      <c r="AX123" s="293" t="s">
        <v>403</v>
      </c>
    </row>
    <row r="124" spans="2:50" s="94" customFormat="1" ht="12.75">
      <c r="B124" s="346" t="s">
        <v>478</v>
      </c>
      <c r="C124" s="231"/>
      <c r="D124" s="369">
        <v>21.89</v>
      </c>
      <c r="E124" s="369">
        <v>1</v>
      </c>
      <c r="G124" s="170" t="s">
        <v>494</v>
      </c>
      <c r="H124" s="127"/>
      <c r="I124" s="360">
        <v>14.86</v>
      </c>
      <c r="J124" s="360">
        <v>1</v>
      </c>
      <c r="L124" s="346" t="s">
        <v>538</v>
      </c>
      <c r="M124" s="231"/>
      <c r="N124" s="360">
        <v>16.21</v>
      </c>
      <c r="O124" s="360">
        <v>1</v>
      </c>
      <c r="Q124" s="170"/>
      <c r="R124" s="242"/>
      <c r="S124" s="211"/>
      <c r="T124" s="212"/>
      <c r="V124" s="124"/>
      <c r="W124" s="295"/>
      <c r="X124" s="297"/>
      <c r="Y124" s="184"/>
      <c r="AA124" s="170" t="s">
        <v>512</v>
      </c>
      <c r="AB124" s="127"/>
      <c r="AC124" s="360">
        <v>23.97</v>
      </c>
      <c r="AD124" s="360">
        <v>1</v>
      </c>
      <c r="AF124" s="132" t="s">
        <v>295</v>
      </c>
      <c r="AG124" s="127"/>
      <c r="AH124" s="366">
        <v>22.37</v>
      </c>
      <c r="AI124" s="366">
        <v>1</v>
      </c>
      <c r="AK124" s="170"/>
      <c r="AL124" s="242"/>
      <c r="AM124" s="211"/>
      <c r="AN124" s="212"/>
      <c r="AP124" s="346" t="s">
        <v>522</v>
      </c>
      <c r="AQ124" s="127"/>
      <c r="AR124" s="360">
        <v>18.18</v>
      </c>
      <c r="AS124" s="360">
        <v>1</v>
      </c>
      <c r="AU124" s="170" t="s">
        <v>547</v>
      </c>
      <c r="AV124" s="127"/>
      <c r="AW124" s="315">
        <v>132.66</v>
      </c>
      <c r="AX124" s="315">
        <v>1</v>
      </c>
    </row>
    <row r="125" spans="2:50" s="94" customFormat="1" ht="12.75">
      <c r="B125" s="170" t="s">
        <v>479</v>
      </c>
      <c r="C125" s="227"/>
      <c r="D125" s="370">
        <v>17.28</v>
      </c>
      <c r="E125" s="370">
        <v>1</v>
      </c>
      <c r="G125" s="170" t="s">
        <v>495</v>
      </c>
      <c r="H125" s="137"/>
      <c r="I125" s="361">
        <v>24.18</v>
      </c>
      <c r="J125" s="361">
        <v>1</v>
      </c>
      <c r="L125" s="170" t="s">
        <v>539</v>
      </c>
      <c r="M125" s="227"/>
      <c r="N125" s="361">
        <v>22.41</v>
      </c>
      <c r="O125" s="361">
        <v>1</v>
      </c>
      <c r="Q125" s="170"/>
      <c r="R125" s="156"/>
      <c r="S125" s="213"/>
      <c r="T125" s="214"/>
      <c r="V125" s="170" t="s">
        <v>501</v>
      </c>
      <c r="W125" s="227"/>
      <c r="X125" s="367">
        <v>15</v>
      </c>
      <c r="Y125" s="367">
        <v>1</v>
      </c>
      <c r="AA125" s="170" t="s">
        <v>298</v>
      </c>
      <c r="AB125" s="137"/>
      <c r="AC125" s="361">
        <v>24.89</v>
      </c>
      <c r="AD125" s="361">
        <v>1</v>
      </c>
      <c r="AF125" s="126" t="s">
        <v>300</v>
      </c>
      <c r="AG125" s="137"/>
      <c r="AH125" s="362">
        <v>29.27</v>
      </c>
      <c r="AI125" s="362">
        <v>1</v>
      </c>
      <c r="AK125" s="170"/>
      <c r="AL125" s="156"/>
      <c r="AM125" s="213"/>
      <c r="AN125" s="214"/>
      <c r="AP125" s="170" t="s">
        <v>523</v>
      </c>
      <c r="AQ125" s="137"/>
      <c r="AR125" s="361">
        <v>21.31</v>
      </c>
      <c r="AS125" s="361">
        <v>1</v>
      </c>
      <c r="AU125" s="170" t="s">
        <v>548</v>
      </c>
      <c r="AV125" s="137"/>
      <c r="AW125" s="286">
        <v>128.87</v>
      </c>
      <c r="AX125" s="286">
        <v>1</v>
      </c>
    </row>
    <row r="126" spans="2:50" s="94" customFormat="1" ht="12.75">
      <c r="B126" s="170" t="s">
        <v>393</v>
      </c>
      <c r="C126" s="227"/>
      <c r="D126" s="371">
        <v>24.2</v>
      </c>
      <c r="E126" s="371">
        <v>1</v>
      </c>
      <c r="G126" s="170" t="s">
        <v>393</v>
      </c>
      <c r="H126" s="137"/>
      <c r="I126" s="362">
        <v>29.54</v>
      </c>
      <c r="J126" s="362">
        <v>1</v>
      </c>
      <c r="L126" s="170" t="s">
        <v>393</v>
      </c>
      <c r="M126" s="227"/>
      <c r="N126" s="362">
        <v>29.21</v>
      </c>
      <c r="O126" s="362">
        <v>1</v>
      </c>
      <c r="Q126" s="170"/>
      <c r="R126" s="156"/>
      <c r="S126" s="213"/>
      <c r="T126" s="214"/>
      <c r="V126" s="170" t="s">
        <v>502</v>
      </c>
      <c r="W126" s="227"/>
      <c r="X126" s="361">
        <v>17</v>
      </c>
      <c r="Y126" s="361">
        <v>1</v>
      </c>
      <c r="AA126" s="170" t="s">
        <v>513</v>
      </c>
      <c r="AB126" s="137"/>
      <c r="AC126" s="362">
        <v>28.61</v>
      </c>
      <c r="AD126" s="362">
        <v>1</v>
      </c>
      <c r="AF126" s="126" t="s">
        <v>308</v>
      </c>
      <c r="AG126" s="137"/>
      <c r="AH126" s="362">
        <v>30.22</v>
      </c>
      <c r="AI126" s="362">
        <v>1</v>
      </c>
      <c r="AK126" s="170"/>
      <c r="AL126" s="156"/>
      <c r="AM126" s="213"/>
      <c r="AN126" s="214"/>
      <c r="AP126" s="170" t="s">
        <v>524</v>
      </c>
      <c r="AQ126" s="137"/>
      <c r="AR126" s="362">
        <v>24.61</v>
      </c>
      <c r="AS126" s="362">
        <v>1</v>
      </c>
      <c r="AU126" s="170" t="s">
        <v>549</v>
      </c>
      <c r="AV126" s="137"/>
      <c r="AW126" s="286">
        <v>546.99</v>
      </c>
      <c r="AX126" s="286">
        <v>1</v>
      </c>
    </row>
    <row r="127" spans="2:50" s="94" customFormat="1" ht="12.75">
      <c r="B127" s="170" t="s">
        <v>392</v>
      </c>
      <c r="C127" s="227"/>
      <c r="D127" s="371">
        <v>24.2</v>
      </c>
      <c r="E127" s="371">
        <v>1</v>
      </c>
      <c r="G127" s="170" t="s">
        <v>392</v>
      </c>
      <c r="H127" s="137"/>
      <c r="I127" s="362">
        <v>31.33</v>
      </c>
      <c r="J127" s="362">
        <v>1</v>
      </c>
      <c r="L127" s="170" t="s">
        <v>540</v>
      </c>
      <c r="M127" s="227"/>
      <c r="N127" s="362">
        <v>29.21</v>
      </c>
      <c r="O127" s="362">
        <v>1</v>
      </c>
      <c r="Q127" s="170"/>
      <c r="R127" s="156"/>
      <c r="S127" s="213"/>
      <c r="T127" s="214"/>
      <c r="V127" s="170" t="s">
        <v>503</v>
      </c>
      <c r="W127" s="227"/>
      <c r="X127" s="361">
        <v>17</v>
      </c>
      <c r="Y127" s="361">
        <v>1</v>
      </c>
      <c r="AA127" s="170" t="s">
        <v>514</v>
      </c>
      <c r="AB127" s="137"/>
      <c r="AC127" s="362">
        <v>49.96</v>
      </c>
      <c r="AD127" s="362">
        <v>1</v>
      </c>
      <c r="AF127" s="126" t="s">
        <v>315</v>
      </c>
      <c r="AG127" s="137"/>
      <c r="AH127" s="363">
        <v>39.99</v>
      </c>
      <c r="AI127" s="363">
        <v>1</v>
      </c>
      <c r="AK127" s="170"/>
      <c r="AL127" s="156"/>
      <c r="AM127" s="213"/>
      <c r="AN127" s="214"/>
      <c r="AP127" s="170" t="s">
        <v>525</v>
      </c>
      <c r="AQ127" s="137"/>
      <c r="AR127" s="362">
        <v>24.61</v>
      </c>
      <c r="AS127" s="362">
        <v>1</v>
      </c>
      <c r="AU127" s="170" t="s">
        <v>550</v>
      </c>
      <c r="AV127" s="137"/>
      <c r="AW127" s="286">
        <v>318.4</v>
      </c>
      <c r="AX127" s="286">
        <v>1</v>
      </c>
    </row>
    <row r="128" spans="2:50" s="94" customFormat="1" ht="12.75">
      <c r="B128" s="170" t="s">
        <v>480</v>
      </c>
      <c r="C128" s="227"/>
      <c r="D128" s="371">
        <v>24.2</v>
      </c>
      <c r="E128" s="371">
        <v>1</v>
      </c>
      <c r="G128" s="170" t="s">
        <v>480</v>
      </c>
      <c r="H128" s="137"/>
      <c r="I128" s="362">
        <v>31.33</v>
      </c>
      <c r="J128" s="362">
        <v>1</v>
      </c>
      <c r="L128" s="170" t="s">
        <v>541</v>
      </c>
      <c r="M128" s="227"/>
      <c r="N128" s="362">
        <v>34.66</v>
      </c>
      <c r="O128" s="362">
        <v>1</v>
      </c>
      <c r="Q128" s="170"/>
      <c r="R128" s="156"/>
      <c r="S128" s="213"/>
      <c r="T128" s="214"/>
      <c r="V128" s="170" t="s">
        <v>504</v>
      </c>
      <c r="W128" s="227"/>
      <c r="X128" s="362">
        <v>17</v>
      </c>
      <c r="Y128" s="362">
        <v>1</v>
      </c>
      <c r="AA128" s="170" t="s">
        <v>515</v>
      </c>
      <c r="AB128" s="137"/>
      <c r="AC128" s="363">
        <v>49.96</v>
      </c>
      <c r="AD128" s="363">
        <v>1</v>
      </c>
      <c r="AF128" s="126" t="s">
        <v>324</v>
      </c>
      <c r="AG128" s="137"/>
      <c r="AH128" s="363">
        <v>49.51</v>
      </c>
      <c r="AI128" s="363">
        <v>1</v>
      </c>
      <c r="AK128" s="170"/>
      <c r="AL128" s="156"/>
      <c r="AM128" s="213"/>
      <c r="AN128" s="214"/>
      <c r="AP128" s="170" t="s">
        <v>526</v>
      </c>
      <c r="AQ128" s="137"/>
      <c r="AR128" s="362">
        <v>27.8</v>
      </c>
      <c r="AS128" s="362">
        <v>1</v>
      </c>
      <c r="AU128" s="170" t="s">
        <v>551</v>
      </c>
      <c r="AV128" s="137"/>
      <c r="AW128" s="286">
        <v>301.55</v>
      </c>
      <c r="AX128" s="286">
        <v>1</v>
      </c>
    </row>
    <row r="129" spans="2:50" s="94" customFormat="1" ht="12.75">
      <c r="B129" s="170" t="s">
        <v>481</v>
      </c>
      <c r="C129" s="227"/>
      <c r="D129" s="371">
        <v>24.2</v>
      </c>
      <c r="E129" s="371">
        <v>1</v>
      </c>
      <c r="G129" s="170" t="s">
        <v>481</v>
      </c>
      <c r="H129" s="137"/>
      <c r="I129" s="362">
        <v>31.33</v>
      </c>
      <c r="J129" s="362">
        <v>1</v>
      </c>
      <c r="L129" s="170" t="s">
        <v>542</v>
      </c>
      <c r="M129" s="227"/>
      <c r="N129" s="363">
        <v>48.85</v>
      </c>
      <c r="O129" s="363">
        <v>1</v>
      </c>
      <c r="Q129" s="170"/>
      <c r="R129" s="156"/>
      <c r="S129" s="213"/>
      <c r="T129" s="214"/>
      <c r="V129" s="170" t="s">
        <v>505</v>
      </c>
      <c r="W129" s="227"/>
      <c r="X129" s="362">
        <v>17</v>
      </c>
      <c r="Y129" s="362">
        <v>1</v>
      </c>
      <c r="AA129" s="170" t="s">
        <v>516</v>
      </c>
      <c r="AB129" s="137"/>
      <c r="AC129" s="363">
        <v>54.62</v>
      </c>
      <c r="AD129" s="363">
        <v>1</v>
      </c>
      <c r="AF129" s="126" t="s">
        <v>334</v>
      </c>
      <c r="AG129" s="137"/>
      <c r="AH129" s="364">
        <v>107.59</v>
      </c>
      <c r="AI129" s="364">
        <v>1</v>
      </c>
      <c r="AK129" s="170"/>
      <c r="AL129" s="156"/>
      <c r="AM129" s="213"/>
      <c r="AN129" s="214"/>
      <c r="AP129" s="170" t="s">
        <v>527</v>
      </c>
      <c r="AQ129" s="137"/>
      <c r="AR129" s="362">
        <v>27.8</v>
      </c>
      <c r="AS129" s="362">
        <v>1</v>
      </c>
      <c r="AU129" s="170" t="s">
        <v>552</v>
      </c>
      <c r="AV129" s="137"/>
      <c r="AW129" s="287">
        <v>142.86</v>
      </c>
      <c r="AX129" s="287">
        <v>1</v>
      </c>
    </row>
    <row r="130" spans="2:50" s="94" customFormat="1" ht="12.75">
      <c r="B130" s="170" t="s">
        <v>482</v>
      </c>
      <c r="C130" s="227"/>
      <c r="D130" s="372">
        <v>31.09</v>
      </c>
      <c r="E130" s="372">
        <v>1</v>
      </c>
      <c r="G130" s="170" t="s">
        <v>496</v>
      </c>
      <c r="H130" s="137"/>
      <c r="I130" s="363">
        <v>46.56</v>
      </c>
      <c r="J130" s="363">
        <v>1</v>
      </c>
      <c r="L130" s="170" t="s">
        <v>543</v>
      </c>
      <c r="M130" s="227"/>
      <c r="N130" s="363">
        <v>50.18</v>
      </c>
      <c r="O130" s="363">
        <v>1</v>
      </c>
      <c r="Q130" s="170"/>
      <c r="R130" s="156"/>
      <c r="S130" s="213"/>
      <c r="T130" s="214"/>
      <c r="V130" s="170" t="s">
        <v>480</v>
      </c>
      <c r="W130" s="227"/>
      <c r="X130" s="362">
        <v>22</v>
      </c>
      <c r="Y130" s="362">
        <v>1</v>
      </c>
      <c r="AA130" s="170" t="s">
        <v>517</v>
      </c>
      <c r="AB130" s="137"/>
      <c r="AC130" s="364">
        <v>93.96</v>
      </c>
      <c r="AD130" s="364">
        <v>1</v>
      </c>
      <c r="AF130" s="126" t="s">
        <v>343</v>
      </c>
      <c r="AG130" s="156"/>
      <c r="AH130" s="364">
        <v>107.59</v>
      </c>
      <c r="AI130" s="364">
        <v>1</v>
      </c>
      <c r="AK130" s="170"/>
      <c r="AL130" s="156"/>
      <c r="AM130" s="213"/>
      <c r="AN130" s="214"/>
      <c r="AP130" s="170" t="s">
        <v>528</v>
      </c>
      <c r="AQ130" s="137"/>
      <c r="AR130" s="363">
        <v>32.11</v>
      </c>
      <c r="AS130" s="363">
        <v>1</v>
      </c>
      <c r="AU130" s="170" t="s">
        <v>553</v>
      </c>
      <c r="AV130" s="137"/>
      <c r="AW130" s="287">
        <v>142.86</v>
      </c>
      <c r="AX130" s="287">
        <v>1</v>
      </c>
    </row>
    <row r="131" spans="2:50" s="94" customFormat="1" ht="12.75">
      <c r="B131" s="170" t="s">
        <v>483</v>
      </c>
      <c r="C131" s="227"/>
      <c r="D131" s="372">
        <v>31.09</v>
      </c>
      <c r="E131" s="372">
        <v>1</v>
      </c>
      <c r="G131" s="170" t="s">
        <v>497</v>
      </c>
      <c r="H131" s="137"/>
      <c r="I131" s="364">
        <v>89.54</v>
      </c>
      <c r="J131" s="364">
        <v>1</v>
      </c>
      <c r="L131" s="170" t="s">
        <v>544</v>
      </c>
      <c r="M131" s="92"/>
      <c r="N131" s="364">
        <v>87.03</v>
      </c>
      <c r="O131" s="364">
        <v>1</v>
      </c>
      <c r="Q131" s="170"/>
      <c r="R131" s="156"/>
      <c r="S131" s="213"/>
      <c r="T131" s="214"/>
      <c r="V131" s="170" t="s">
        <v>481</v>
      </c>
      <c r="W131" s="227"/>
      <c r="X131" s="362">
        <v>22</v>
      </c>
      <c r="Y131" s="362">
        <v>1</v>
      </c>
      <c r="AA131" s="170" t="s">
        <v>518</v>
      </c>
      <c r="AB131" s="137"/>
      <c r="AC131" s="364">
        <v>93.96</v>
      </c>
      <c r="AD131" s="364">
        <v>1</v>
      </c>
      <c r="AF131" s="126" t="s">
        <v>415</v>
      </c>
      <c r="AG131" s="137"/>
      <c r="AH131" s="364">
        <v>107.59</v>
      </c>
      <c r="AI131" s="364">
        <v>1</v>
      </c>
      <c r="AK131" s="170"/>
      <c r="AL131" s="156"/>
      <c r="AM131" s="213"/>
      <c r="AN131" s="214"/>
      <c r="AP131" s="170" t="s">
        <v>529</v>
      </c>
      <c r="AQ131" s="137"/>
      <c r="AR131" s="363">
        <v>32.11</v>
      </c>
      <c r="AS131" s="363">
        <v>1</v>
      </c>
      <c r="AU131" s="170" t="s">
        <v>554</v>
      </c>
      <c r="AV131" s="137"/>
      <c r="AW131" s="287">
        <v>107.15</v>
      </c>
      <c r="AX131" s="287">
        <v>1</v>
      </c>
    </row>
    <row r="132" spans="2:50" s="94" customFormat="1" ht="12.75">
      <c r="B132" s="170" t="s">
        <v>484</v>
      </c>
      <c r="C132" s="227"/>
      <c r="D132" s="372">
        <v>38.02</v>
      </c>
      <c r="E132" s="372">
        <v>1</v>
      </c>
      <c r="G132" s="170" t="s">
        <v>498</v>
      </c>
      <c r="H132" s="137"/>
      <c r="I132" s="364">
        <v>89.54</v>
      </c>
      <c r="J132" s="364">
        <v>1</v>
      </c>
      <c r="L132" s="170" t="s">
        <v>545</v>
      </c>
      <c r="M132" s="96"/>
      <c r="N132" s="364">
        <v>104.93</v>
      </c>
      <c r="O132" s="364">
        <v>1</v>
      </c>
      <c r="Q132" s="170"/>
      <c r="R132" s="156"/>
      <c r="S132" s="213"/>
      <c r="T132" s="214"/>
      <c r="V132" s="170" t="s">
        <v>506</v>
      </c>
      <c r="W132" s="227"/>
      <c r="X132" s="363">
        <v>28</v>
      </c>
      <c r="Y132" s="363">
        <v>1</v>
      </c>
      <c r="AA132" s="170" t="s">
        <v>519</v>
      </c>
      <c r="AB132" s="137"/>
      <c r="AC132" s="364">
        <v>93.96</v>
      </c>
      <c r="AD132" s="364">
        <v>1</v>
      </c>
      <c r="AF132" s="126" t="s">
        <v>361</v>
      </c>
      <c r="AG132" s="137"/>
      <c r="AH132" s="365">
        <v>107.59</v>
      </c>
      <c r="AI132" s="365">
        <v>1</v>
      </c>
      <c r="AK132" s="170"/>
      <c r="AL132" s="156"/>
      <c r="AM132" s="213"/>
      <c r="AN132" s="214"/>
      <c r="AP132" s="170" t="s">
        <v>530</v>
      </c>
      <c r="AQ132" s="137"/>
      <c r="AR132" s="363">
        <v>37.48</v>
      </c>
      <c r="AS132" s="363">
        <v>1</v>
      </c>
      <c r="AU132" s="170" t="s">
        <v>555</v>
      </c>
      <c r="AV132" s="137"/>
      <c r="AW132" s="287">
        <v>68.92</v>
      </c>
      <c r="AX132" s="287">
        <v>1</v>
      </c>
    </row>
    <row r="133" spans="2:50" s="94" customFormat="1" ht="12.75">
      <c r="B133" s="170" t="s">
        <v>485</v>
      </c>
      <c r="C133" s="227"/>
      <c r="D133" s="372">
        <v>38.02</v>
      </c>
      <c r="E133" s="372">
        <v>1</v>
      </c>
      <c r="G133" s="170" t="s">
        <v>499</v>
      </c>
      <c r="H133" s="137"/>
      <c r="I133" s="365">
        <v>89.54</v>
      </c>
      <c r="J133" s="365">
        <v>1</v>
      </c>
      <c r="L133" s="170" t="s">
        <v>546</v>
      </c>
      <c r="M133" s="96"/>
      <c r="N133" s="364">
        <v>110.63</v>
      </c>
      <c r="O133" s="364">
        <v>1</v>
      </c>
      <c r="Q133" s="170"/>
      <c r="R133" s="156"/>
      <c r="S133" s="213"/>
      <c r="T133" s="214"/>
      <c r="V133" s="170" t="s">
        <v>507</v>
      </c>
      <c r="W133" s="227"/>
      <c r="X133" s="363">
        <v>28</v>
      </c>
      <c r="Y133" s="363">
        <v>1</v>
      </c>
      <c r="AA133" s="170" t="s">
        <v>520</v>
      </c>
      <c r="AB133" s="137"/>
      <c r="AC133" s="365">
        <v>138.05</v>
      </c>
      <c r="AD133" s="365">
        <v>1</v>
      </c>
      <c r="AF133" s="126" t="s">
        <v>370</v>
      </c>
      <c r="AG133" s="137"/>
      <c r="AH133" s="365">
        <v>179.95</v>
      </c>
      <c r="AI133" s="365">
        <v>1</v>
      </c>
      <c r="AK133" s="170"/>
      <c r="AL133" s="156"/>
      <c r="AM133" s="213"/>
      <c r="AN133" s="214"/>
      <c r="AP133" s="170" t="s">
        <v>531</v>
      </c>
      <c r="AQ133" s="137"/>
      <c r="AR133" s="363">
        <v>37.48</v>
      </c>
      <c r="AS133" s="363">
        <v>1</v>
      </c>
      <c r="AU133" s="170" t="s">
        <v>556</v>
      </c>
      <c r="AV133" s="137"/>
      <c r="AW133" s="287">
        <v>59.01</v>
      </c>
      <c r="AX133" s="287">
        <v>1</v>
      </c>
    </row>
    <row r="134" spans="2:50" s="94" customFormat="1" ht="12.75">
      <c r="B134" s="170" t="s">
        <v>486</v>
      </c>
      <c r="C134" s="227"/>
      <c r="D134" s="372">
        <v>62.21</v>
      </c>
      <c r="E134" s="372">
        <v>1</v>
      </c>
      <c r="G134" s="170" t="s">
        <v>500</v>
      </c>
      <c r="H134" s="137"/>
      <c r="I134" s="365">
        <v>141.48</v>
      </c>
      <c r="J134" s="365">
        <v>1</v>
      </c>
      <c r="L134" s="170" t="s">
        <v>330</v>
      </c>
      <c r="M134" s="96"/>
      <c r="N134" s="365">
        <v>148.84</v>
      </c>
      <c r="O134" s="365">
        <v>1</v>
      </c>
      <c r="Q134" s="170"/>
      <c r="R134" s="156"/>
      <c r="S134" s="213"/>
      <c r="T134" s="214"/>
      <c r="V134" s="170" t="s">
        <v>508</v>
      </c>
      <c r="W134" s="227"/>
      <c r="X134" s="364">
        <v>63</v>
      </c>
      <c r="Y134" s="364">
        <v>1</v>
      </c>
      <c r="AA134" s="170" t="s">
        <v>521</v>
      </c>
      <c r="AB134" s="137"/>
      <c r="AC134" s="365">
        <v>187.46</v>
      </c>
      <c r="AD134" s="365">
        <v>1</v>
      </c>
      <c r="AF134" s="126" t="s">
        <v>379</v>
      </c>
      <c r="AG134" s="137"/>
      <c r="AH134" s="367">
        <v>16.93</v>
      </c>
      <c r="AI134" s="367">
        <v>1</v>
      </c>
      <c r="AK134" s="170"/>
      <c r="AL134" s="156"/>
      <c r="AM134" s="213"/>
      <c r="AN134" s="214"/>
      <c r="AP134" s="170" t="s">
        <v>532</v>
      </c>
      <c r="AQ134" s="137"/>
      <c r="AR134" s="363">
        <v>53.48</v>
      </c>
      <c r="AS134" s="363">
        <v>1</v>
      </c>
      <c r="AU134" s="170" t="s">
        <v>557</v>
      </c>
      <c r="AV134" s="137"/>
      <c r="AW134" s="287">
        <v>35.71</v>
      </c>
      <c r="AX134" s="287">
        <v>1</v>
      </c>
    </row>
    <row r="135" spans="2:50" s="94" customFormat="1" ht="12.75">
      <c r="B135" s="170" t="s">
        <v>487</v>
      </c>
      <c r="C135" s="227"/>
      <c r="D135" s="372">
        <v>132.63</v>
      </c>
      <c r="E135" s="372">
        <v>1</v>
      </c>
      <c r="G135" s="157"/>
      <c r="H135" s="158"/>
      <c r="I135" s="159"/>
      <c r="J135" s="291"/>
      <c r="L135" s="256" t="s">
        <v>340</v>
      </c>
      <c r="M135" s="195"/>
      <c r="N135" s="365">
        <v>169.64</v>
      </c>
      <c r="O135" s="365">
        <v>1</v>
      </c>
      <c r="Q135" s="170"/>
      <c r="R135" s="156"/>
      <c r="S135" s="213"/>
      <c r="T135" s="214"/>
      <c r="V135" s="170" t="s">
        <v>509</v>
      </c>
      <c r="W135" s="227"/>
      <c r="X135" s="364">
        <v>63</v>
      </c>
      <c r="Y135" s="364">
        <v>1</v>
      </c>
      <c r="AA135" s="157"/>
      <c r="AB135" s="158"/>
      <c r="AC135" s="159"/>
      <c r="AD135" s="299"/>
      <c r="AF135" s="157"/>
      <c r="AG135" s="158"/>
      <c r="AH135" s="168"/>
      <c r="AI135" s="291"/>
      <c r="AK135" s="170"/>
      <c r="AL135" s="156"/>
      <c r="AM135" s="213"/>
      <c r="AN135" s="214"/>
      <c r="AP135" s="170" t="s">
        <v>533</v>
      </c>
      <c r="AQ135" s="137"/>
      <c r="AR135" s="364">
        <v>101.75</v>
      </c>
      <c r="AS135" s="364">
        <v>1</v>
      </c>
      <c r="AU135" s="170" t="s">
        <v>481</v>
      </c>
      <c r="AV135" s="137"/>
      <c r="AW135" s="288">
        <v>30.61</v>
      </c>
      <c r="AX135" s="288">
        <v>1</v>
      </c>
    </row>
    <row r="136" spans="2:50" s="94" customFormat="1" ht="12.75">
      <c r="B136" s="170" t="s">
        <v>488</v>
      </c>
      <c r="C136" s="92"/>
      <c r="D136" s="372">
        <v>147.5</v>
      </c>
      <c r="E136" s="372">
        <v>1</v>
      </c>
      <c r="L136" s="181"/>
      <c r="M136" s="182"/>
      <c r="N136" s="240"/>
      <c r="O136" s="355"/>
      <c r="Q136" s="157"/>
      <c r="R136" s="158"/>
      <c r="S136" s="159"/>
      <c r="T136" s="160"/>
      <c r="V136" s="170" t="s">
        <v>510</v>
      </c>
      <c r="W136" s="227"/>
      <c r="X136" s="365">
        <v>115</v>
      </c>
      <c r="Y136" s="365">
        <v>1</v>
      </c>
      <c r="AK136" s="157"/>
      <c r="AL136" s="158"/>
      <c r="AM136" s="159"/>
      <c r="AN136" s="160"/>
      <c r="AP136" s="170" t="s">
        <v>534</v>
      </c>
      <c r="AQ136" s="156"/>
      <c r="AR136" s="364">
        <v>101.75</v>
      </c>
      <c r="AS136" s="364">
        <v>1</v>
      </c>
      <c r="AU136" s="170" t="s">
        <v>480</v>
      </c>
      <c r="AV136" s="156"/>
      <c r="AW136" s="288">
        <v>30.61</v>
      </c>
      <c r="AX136" s="288">
        <v>1</v>
      </c>
    </row>
    <row r="137" spans="2:50" ht="12.75">
      <c r="B137" s="170" t="s">
        <v>489</v>
      </c>
      <c r="C137" s="244"/>
      <c r="D137" s="373">
        <v>147.5</v>
      </c>
      <c r="E137" s="373">
        <v>1</v>
      </c>
      <c r="V137" s="256" t="s">
        <v>511</v>
      </c>
      <c r="W137" s="309"/>
      <c r="X137" s="368">
        <v>135</v>
      </c>
      <c r="Y137" s="368">
        <v>1</v>
      </c>
      <c r="AP137" s="170" t="s">
        <v>535</v>
      </c>
      <c r="AQ137" s="351"/>
      <c r="AR137" s="364">
        <v>101.75</v>
      </c>
      <c r="AS137" s="364">
        <v>1</v>
      </c>
      <c r="AU137" s="170" t="s">
        <v>392</v>
      </c>
      <c r="AV137" s="156"/>
      <c r="AW137" s="288">
        <v>30.61</v>
      </c>
      <c r="AX137" s="288">
        <v>1</v>
      </c>
    </row>
    <row r="138" spans="2:50" ht="12.75">
      <c r="B138" s="170" t="s">
        <v>490</v>
      </c>
      <c r="C138" s="244"/>
      <c r="D138" s="373">
        <v>147.5</v>
      </c>
      <c r="E138" s="373">
        <v>1</v>
      </c>
      <c r="V138" s="350"/>
      <c r="W138" s="245"/>
      <c r="X138" s="349"/>
      <c r="Y138" s="348"/>
      <c r="AA138" s="203"/>
      <c r="AP138" s="170" t="s">
        <v>536</v>
      </c>
      <c r="AQ138" s="351"/>
      <c r="AR138" s="365">
        <v>177.99</v>
      </c>
      <c r="AS138" s="365">
        <v>1</v>
      </c>
      <c r="AU138" s="170" t="s">
        <v>393</v>
      </c>
      <c r="AV138" s="156"/>
      <c r="AW138" s="288">
        <v>25.5</v>
      </c>
      <c r="AX138" s="288">
        <v>1</v>
      </c>
    </row>
    <row r="139" spans="2:50" ht="12.75">
      <c r="B139" s="256" t="s">
        <v>491</v>
      </c>
      <c r="C139" s="245"/>
      <c r="D139" s="373">
        <v>147.5</v>
      </c>
      <c r="E139" s="373">
        <v>1</v>
      </c>
      <c r="AP139" s="170" t="s">
        <v>537</v>
      </c>
      <c r="AQ139" s="351"/>
      <c r="AR139" s="365">
        <v>225.89</v>
      </c>
      <c r="AS139" s="365">
        <v>1</v>
      </c>
      <c r="AU139" s="170" t="s">
        <v>295</v>
      </c>
      <c r="AV139" s="156"/>
      <c r="AW139" s="289">
        <v>25.5</v>
      </c>
      <c r="AX139" s="289">
        <v>1</v>
      </c>
    </row>
    <row r="140" spans="2:50" ht="12.75">
      <c r="B140" s="247"/>
      <c r="C140" s="248"/>
      <c r="D140" s="249"/>
      <c r="E140" s="348"/>
      <c r="AP140" s="352"/>
      <c r="AQ140" s="353"/>
      <c r="AR140" s="354"/>
      <c r="AS140" s="359"/>
      <c r="AU140" s="170" t="s">
        <v>558</v>
      </c>
      <c r="AV140" s="156"/>
      <c r="AW140" s="292">
        <v>17.65</v>
      </c>
      <c r="AX140" s="292">
        <v>1</v>
      </c>
    </row>
    <row r="141" spans="47:50" ht="12.75">
      <c r="AU141" s="157"/>
      <c r="AV141" s="158"/>
      <c r="AW141" s="159"/>
      <c r="AX141" s="291"/>
    </row>
    <row r="142" spans="2:50" s="94" customFormat="1" ht="12.75">
      <c r="B142" s="217" t="s">
        <v>451</v>
      </c>
      <c r="C142" s="182"/>
      <c r="D142" s="219">
        <f>SUMPRODUCT(D124:D140,E124:E140)</f>
        <v>1059.03</v>
      </c>
      <c r="G142" s="217" t="s">
        <v>451</v>
      </c>
      <c r="H142" s="182"/>
      <c r="I142" s="219">
        <f>SUMPRODUCT(I124:I140,J124:J140)</f>
        <v>619.23</v>
      </c>
      <c r="L142" s="217" t="s">
        <v>451</v>
      </c>
      <c r="M142" s="182"/>
      <c r="N142" s="219">
        <f>SUMPRODUCT(N124:N140,O124:O140)</f>
        <v>851.8</v>
      </c>
      <c r="Q142" s="217" t="s">
        <v>451</v>
      </c>
      <c r="R142" s="182"/>
      <c r="S142" s="219">
        <f>SUMPRODUCT(S124:S140,T124:T140)</f>
        <v>0</v>
      </c>
      <c r="V142" s="217" t="s">
        <v>451</v>
      </c>
      <c r="W142" s="182"/>
      <c r="X142" s="219">
        <f>SUMPRODUCT(X125:X140,Y125:Y140)</f>
        <v>559</v>
      </c>
      <c r="AA142" s="217" t="s">
        <v>451</v>
      </c>
      <c r="AB142" s="182"/>
      <c r="AC142" s="219">
        <f>SUMPRODUCT(AC124:AC140,AD124:AD140)</f>
        <v>839.4000000000001</v>
      </c>
      <c r="AF142" s="217" t="s">
        <v>451</v>
      </c>
      <c r="AG142" s="182"/>
      <c r="AH142" s="219">
        <f>SUMPRODUCT(AH124:AH140,AI124:AI140)</f>
        <v>798.6</v>
      </c>
      <c r="AK142" s="217" t="s">
        <v>451</v>
      </c>
      <c r="AL142" s="182"/>
      <c r="AM142" s="219">
        <f>SUMPRODUCT(AM124:AM140,AN124:AN140)</f>
        <v>0</v>
      </c>
      <c r="AP142" s="217" t="s">
        <v>451</v>
      </c>
      <c r="AQ142" s="182"/>
      <c r="AR142" s="219">
        <f>SUMPRODUCT(AR124:AR140,AS124:AS140)</f>
        <v>1046.1</v>
      </c>
      <c r="AU142" s="217" t="s">
        <v>451</v>
      </c>
      <c r="AV142" s="182"/>
      <c r="AW142" s="219">
        <f>SUMPRODUCT(AW124:AW140,AX124:AX140)</f>
        <v>2145.46</v>
      </c>
      <c r="AX142" s="91"/>
    </row>
    <row r="144" spans="1:12" s="199" customFormat="1" ht="12.75">
      <c r="A144" s="199" t="s">
        <v>561</v>
      </c>
      <c r="B144" s="83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</row>
    <row r="145" s="94" customFormat="1" ht="12.75"/>
    <row r="146" spans="2:47" s="94" customFormat="1" ht="12.75">
      <c r="B146" s="171" t="s">
        <v>146</v>
      </c>
      <c r="G146" s="171" t="s">
        <v>29</v>
      </c>
      <c r="L146" s="171" t="s">
        <v>147</v>
      </c>
      <c r="Q146" s="171" t="s">
        <v>288</v>
      </c>
      <c r="V146" s="171" t="s">
        <v>148</v>
      </c>
      <c r="AA146" s="171" t="s">
        <v>149</v>
      </c>
      <c r="AF146" s="171" t="s">
        <v>150</v>
      </c>
      <c r="AK146" s="121" t="s">
        <v>195</v>
      </c>
      <c r="AL146" s="86"/>
      <c r="AM146" s="86"/>
      <c r="AN146" s="86"/>
      <c r="AP146" s="171" t="s">
        <v>151</v>
      </c>
      <c r="AU146" s="171" t="s">
        <v>30</v>
      </c>
    </row>
    <row r="147" spans="2:50" s="94" customFormat="1" ht="12.75">
      <c r="B147" s="124" t="s">
        <v>492</v>
      </c>
      <c r="C147" s="182"/>
      <c r="D147" s="183" t="s">
        <v>402</v>
      </c>
      <c r="E147" s="184" t="s">
        <v>403</v>
      </c>
      <c r="G147" s="124" t="s">
        <v>492</v>
      </c>
      <c r="H147" s="182"/>
      <c r="I147" s="183" t="s">
        <v>402</v>
      </c>
      <c r="J147" s="184" t="s">
        <v>403</v>
      </c>
      <c r="L147" s="124" t="s">
        <v>492</v>
      </c>
      <c r="M147" s="182"/>
      <c r="N147" s="183" t="s">
        <v>402</v>
      </c>
      <c r="O147" s="184" t="s">
        <v>403</v>
      </c>
      <c r="Q147" s="316"/>
      <c r="R147" s="220"/>
      <c r="S147" s="269"/>
      <c r="T147" s="270"/>
      <c r="V147" s="124" t="s">
        <v>492</v>
      </c>
      <c r="W147" s="182"/>
      <c r="X147" s="183" t="s">
        <v>402</v>
      </c>
      <c r="Y147" s="184" t="s">
        <v>403</v>
      </c>
      <c r="AA147" s="124" t="s">
        <v>492</v>
      </c>
      <c r="AB147" s="182"/>
      <c r="AC147" s="183" t="s">
        <v>402</v>
      </c>
      <c r="AD147" s="184" t="s">
        <v>403</v>
      </c>
      <c r="AF147" s="124" t="s">
        <v>492</v>
      </c>
      <c r="AG147" s="182"/>
      <c r="AH147" s="183" t="s">
        <v>402</v>
      </c>
      <c r="AI147" s="184" t="s">
        <v>403</v>
      </c>
      <c r="AK147" s="316"/>
      <c r="AL147" s="220"/>
      <c r="AM147" s="269"/>
      <c r="AN147" s="270"/>
      <c r="AP147" s="124" t="s">
        <v>492</v>
      </c>
      <c r="AQ147" s="182"/>
      <c r="AR147" s="183" t="s">
        <v>402</v>
      </c>
      <c r="AS147" s="184" t="s">
        <v>403</v>
      </c>
      <c r="AU147" s="124" t="s">
        <v>492</v>
      </c>
      <c r="AV147" s="182"/>
      <c r="AW147" s="183" t="s">
        <v>402</v>
      </c>
      <c r="AX147" s="184" t="s">
        <v>403</v>
      </c>
    </row>
    <row r="148" spans="2:50" s="94" customFormat="1" ht="12.75">
      <c r="B148" s="175" t="s">
        <v>404</v>
      </c>
      <c r="C148" s="96"/>
      <c r="D148" s="386">
        <f>D124</f>
        <v>21.89</v>
      </c>
      <c r="E148" s="387">
        <f>E124</f>
        <v>1</v>
      </c>
      <c r="G148" s="175" t="s">
        <v>404</v>
      </c>
      <c r="H148" s="96"/>
      <c r="I148" s="386">
        <f>I124</f>
        <v>14.86</v>
      </c>
      <c r="J148" s="387">
        <f>J124</f>
        <v>1</v>
      </c>
      <c r="L148" s="175" t="s">
        <v>404</v>
      </c>
      <c r="M148" s="96"/>
      <c r="N148" s="386">
        <f>N124</f>
        <v>16.21</v>
      </c>
      <c r="O148" s="387">
        <f>O124</f>
        <v>1</v>
      </c>
      <c r="Q148" s="317"/>
      <c r="R148" s="31"/>
      <c r="S148" s="271"/>
      <c r="T148" s="272"/>
      <c r="V148" s="175" t="s">
        <v>404</v>
      </c>
      <c r="W148" s="96"/>
      <c r="X148" s="386">
        <f>X125</f>
        <v>15</v>
      </c>
      <c r="Y148" s="387">
        <f>Y125</f>
        <v>1</v>
      </c>
      <c r="AA148" s="175" t="s">
        <v>404</v>
      </c>
      <c r="AB148" s="96"/>
      <c r="AC148" s="386">
        <f>AC124</f>
        <v>23.97</v>
      </c>
      <c r="AD148" s="387">
        <f>AD124</f>
        <v>1</v>
      </c>
      <c r="AF148" s="175" t="s">
        <v>404</v>
      </c>
      <c r="AG148" s="96"/>
      <c r="AH148" s="386">
        <f>AH134</f>
        <v>16.93</v>
      </c>
      <c r="AI148" s="387">
        <f>AI134</f>
        <v>1</v>
      </c>
      <c r="AK148" s="317"/>
      <c r="AL148" s="31"/>
      <c r="AM148" s="271"/>
      <c r="AN148" s="272"/>
      <c r="AP148" s="175" t="s">
        <v>404</v>
      </c>
      <c r="AQ148" s="96"/>
      <c r="AR148" s="386">
        <f>AR124</f>
        <v>18.18</v>
      </c>
      <c r="AS148" s="387">
        <f>AS124</f>
        <v>1</v>
      </c>
      <c r="AU148" s="175" t="s">
        <v>404</v>
      </c>
      <c r="AV148" s="96"/>
      <c r="AW148" s="386">
        <f>AW140</f>
        <v>17.65</v>
      </c>
      <c r="AX148" s="387">
        <f>AX140</f>
        <v>1</v>
      </c>
    </row>
    <row r="149" spans="2:50" s="94" customFormat="1" ht="12.75">
      <c r="B149" s="175" t="s">
        <v>405</v>
      </c>
      <c r="C149" s="96"/>
      <c r="D149" s="388">
        <f>D125</f>
        <v>17.28</v>
      </c>
      <c r="E149" s="389">
        <f>E125</f>
        <v>1</v>
      </c>
      <c r="G149" s="175" t="s">
        <v>405</v>
      </c>
      <c r="H149" s="96"/>
      <c r="I149" s="388">
        <f>I125</f>
        <v>24.18</v>
      </c>
      <c r="J149" s="389">
        <f>J125</f>
        <v>1</v>
      </c>
      <c r="L149" s="175" t="s">
        <v>405</v>
      </c>
      <c r="M149" s="96"/>
      <c r="N149" s="388">
        <f>N125</f>
        <v>22.41</v>
      </c>
      <c r="O149" s="389">
        <f>O125</f>
        <v>1</v>
      </c>
      <c r="Q149" s="317"/>
      <c r="R149" s="31"/>
      <c r="S149" s="273"/>
      <c r="T149" s="274"/>
      <c r="V149" s="175" t="s">
        <v>405</v>
      </c>
      <c r="W149" s="96"/>
      <c r="X149" s="388">
        <f>X126</f>
        <v>17</v>
      </c>
      <c r="Y149" s="389">
        <f>Y126+Y127</f>
        <v>2</v>
      </c>
      <c r="AA149" s="175" t="s">
        <v>405</v>
      </c>
      <c r="AB149" s="96"/>
      <c r="AC149" s="388">
        <f>AC125</f>
        <v>24.89</v>
      </c>
      <c r="AD149" s="389">
        <f>AD125</f>
        <v>1</v>
      </c>
      <c r="AF149" s="175" t="s">
        <v>405</v>
      </c>
      <c r="AG149" s="96"/>
      <c r="AH149" s="388">
        <f>AH124</f>
        <v>22.37</v>
      </c>
      <c r="AI149" s="389">
        <f>AI124</f>
        <v>1</v>
      </c>
      <c r="AK149" s="317"/>
      <c r="AL149" s="31"/>
      <c r="AM149" s="273"/>
      <c r="AN149" s="274"/>
      <c r="AP149" s="175" t="s">
        <v>405</v>
      </c>
      <c r="AQ149" s="96"/>
      <c r="AR149" s="388">
        <f>AR125</f>
        <v>21.31</v>
      </c>
      <c r="AS149" s="389">
        <f>AS125</f>
        <v>1</v>
      </c>
      <c r="AU149" s="175" t="s">
        <v>405</v>
      </c>
      <c r="AV149" s="96"/>
      <c r="AW149" s="388">
        <f>AW139</f>
        <v>25.5</v>
      </c>
      <c r="AX149" s="389">
        <f>AX139</f>
        <v>1</v>
      </c>
    </row>
    <row r="150" spans="2:50" s="94" customFormat="1" ht="12.75">
      <c r="B150" s="175" t="s">
        <v>406</v>
      </c>
      <c r="C150" s="96"/>
      <c r="D150" s="390">
        <f>D126</f>
        <v>24.2</v>
      </c>
      <c r="E150" s="391">
        <f>SUM(E126:E129)</f>
        <v>4</v>
      </c>
      <c r="G150" s="175" t="s">
        <v>406</v>
      </c>
      <c r="H150" s="96"/>
      <c r="I150" s="390">
        <f>IF(J150&lt;&gt;0,SUMPRODUCT(I126:I129,J126:J129)/SUM(J126:J129),0)</f>
        <v>30.882499999999997</v>
      </c>
      <c r="J150" s="391">
        <f>SUM(J126:J129)</f>
        <v>4</v>
      </c>
      <c r="L150" s="175" t="s">
        <v>406</v>
      </c>
      <c r="M150" s="96"/>
      <c r="N150" s="390">
        <f>IF(O150&lt;&gt;0,SUMPRODUCT(N126:N128,O126:O128)/SUM(O126:O128),0)</f>
        <v>31.026666666666667</v>
      </c>
      <c r="O150" s="391">
        <f>SUM(O126:O128)</f>
        <v>3</v>
      </c>
      <c r="Q150" s="317"/>
      <c r="R150" s="31"/>
      <c r="S150" s="273"/>
      <c r="T150" s="274"/>
      <c r="V150" s="175" t="s">
        <v>406</v>
      </c>
      <c r="W150" s="96"/>
      <c r="X150" s="390">
        <f>IF(Y150&lt;&gt;0,SUMPRODUCT(X128:X131,Y128:Y131)/SUM(Y128:Y131),0)</f>
        <v>19.5</v>
      </c>
      <c r="Y150" s="391">
        <f>SUM(Y128:Y131)</f>
        <v>4</v>
      </c>
      <c r="AA150" s="175" t="s">
        <v>406</v>
      </c>
      <c r="AB150" s="96"/>
      <c r="AC150" s="390">
        <f>IF(AD150&lt;&gt;0,SUMPRODUCT(AC126:AC127,AD126:AD127)/SUM(AD126:AD127),0)</f>
        <v>39.285</v>
      </c>
      <c r="AD150" s="391">
        <f>SUM(AD126:AD127)</f>
        <v>2</v>
      </c>
      <c r="AF150" s="175" t="s">
        <v>406</v>
      </c>
      <c r="AG150" s="96"/>
      <c r="AH150" s="390">
        <f>IF(AI150&lt;&gt;0,SUMPRODUCT(AH125:AH126,AI125:AI126)/SUM(AI125:AI126),0)</f>
        <v>29.744999999999997</v>
      </c>
      <c r="AI150" s="391">
        <f>SUM(AI125:AI126)</f>
        <v>2</v>
      </c>
      <c r="AK150" s="317"/>
      <c r="AL150" s="31"/>
      <c r="AM150" s="273"/>
      <c r="AN150" s="274"/>
      <c r="AP150" s="175" t="s">
        <v>406</v>
      </c>
      <c r="AQ150" s="96"/>
      <c r="AR150" s="390">
        <f>IF(AS150&lt;&gt;0,SUMPRODUCT(AR126:AR129,AS126:AS129)/SUM(AS126:AS129),0)</f>
        <v>26.205</v>
      </c>
      <c r="AS150" s="391">
        <f>SUM(AS126:AS129)</f>
        <v>4</v>
      </c>
      <c r="AU150" s="175" t="s">
        <v>406</v>
      </c>
      <c r="AV150" s="96"/>
      <c r="AW150" s="390">
        <f>SUMPRODUCT(AW135:AW138,AX135:AX138)/SUM(AX135:AX138)</f>
        <v>29.3325</v>
      </c>
      <c r="AX150" s="391">
        <f>SUM(AX135:AX138)</f>
        <v>4</v>
      </c>
    </row>
    <row r="151" spans="2:50" s="94" customFormat="1" ht="12.75">
      <c r="B151" s="175" t="s">
        <v>394</v>
      </c>
      <c r="C151" s="96"/>
      <c r="D151" s="392">
        <f>IF(E151&lt;&gt;0,SUMPRODUCT(D130:D136,E130:E136)/SUM(E130:E136),0)</f>
        <v>68.65142857142857</v>
      </c>
      <c r="E151" s="393">
        <f>SUM(E130:E136)</f>
        <v>7</v>
      </c>
      <c r="G151" s="175" t="s">
        <v>394</v>
      </c>
      <c r="H151" s="96"/>
      <c r="I151" s="392">
        <f>I130</f>
        <v>46.56</v>
      </c>
      <c r="J151" s="393">
        <f>J130</f>
        <v>1</v>
      </c>
      <c r="L151" s="175" t="s">
        <v>394</v>
      </c>
      <c r="M151" s="96"/>
      <c r="N151" s="392">
        <f>IF(O151&lt;&gt;0,SUMPRODUCT(N129:N130,O129:O130)/SUM(O129:O130),0)</f>
        <v>49.515</v>
      </c>
      <c r="O151" s="393">
        <f>O130+O129</f>
        <v>2</v>
      </c>
      <c r="Q151" s="317"/>
      <c r="R151" s="31"/>
      <c r="S151" s="273"/>
      <c r="T151" s="274"/>
      <c r="V151" s="175" t="s">
        <v>394</v>
      </c>
      <c r="W151" s="96"/>
      <c r="X151" s="392">
        <f>IF(Y151&lt;&gt;0,SUMPRODUCT(X132:X133,Y132:Y133)/SUM(Y132:Y133),0)</f>
        <v>28</v>
      </c>
      <c r="Y151" s="393">
        <f>SUM(Y132:Y133)</f>
        <v>2</v>
      </c>
      <c r="AA151" s="175" t="s">
        <v>394</v>
      </c>
      <c r="AB151" s="96"/>
      <c r="AC151" s="392">
        <f>IF(AD151&lt;&gt;0,SUMPRODUCT(AC128:AC129,AD128:AD129)/SUM(AD128:AD129),0)</f>
        <v>52.29</v>
      </c>
      <c r="AD151" s="393">
        <f>AD129+AD128</f>
        <v>2</v>
      </c>
      <c r="AF151" s="175" t="s">
        <v>394</v>
      </c>
      <c r="AG151" s="96"/>
      <c r="AH151" s="392">
        <f>IF(AI151&lt;&gt;0,SUMPRODUCT(AH127:AH128,AI127:AI128)/SUM(AI127:AI128),0)</f>
        <v>44.75</v>
      </c>
      <c r="AI151" s="393">
        <f>AI127+AI128</f>
        <v>2</v>
      </c>
      <c r="AK151" s="317"/>
      <c r="AL151" s="31"/>
      <c r="AM151" s="273"/>
      <c r="AN151" s="274"/>
      <c r="AP151" s="175" t="s">
        <v>394</v>
      </c>
      <c r="AQ151" s="96"/>
      <c r="AR151" s="392">
        <f>IF(AS151&lt;&gt;0,SUMPRODUCT(AR130:AR134,AS130:AS134)/SUM(AS130:AS134),0)</f>
        <v>38.532</v>
      </c>
      <c r="AS151" s="393">
        <f>SUM(AS130:AS134)</f>
        <v>5</v>
      </c>
      <c r="AU151" s="175" t="s">
        <v>394</v>
      </c>
      <c r="AV151" s="96"/>
      <c r="AW151" s="392">
        <f>SUMPRODUCT(AW129:AW134,AX129:AX134)/SUM(AX129:AX134)</f>
        <v>92.75166666666668</v>
      </c>
      <c r="AX151" s="393">
        <f>SUM(AX129:AX134)</f>
        <v>6</v>
      </c>
    </row>
    <row r="152" spans="2:50" s="94" customFormat="1" ht="12.75">
      <c r="B152" s="175" t="s">
        <v>397</v>
      </c>
      <c r="C152" s="96"/>
      <c r="D152" s="394">
        <f>IF(E152&lt;&gt;0,SUMPRODUCT(D137:D139,E137:E139)/SUM(E137:E139),0)</f>
        <v>147.5</v>
      </c>
      <c r="E152" s="395">
        <f>SUM(E137:E139)</f>
        <v>3</v>
      </c>
      <c r="G152" s="175" t="s">
        <v>397</v>
      </c>
      <c r="H152" s="96"/>
      <c r="I152" s="394">
        <f>IF(J152&lt;&gt;0,SUMPRODUCT(I131:I132,J131:J132)/SUM(J131:J132),0)</f>
        <v>89.54</v>
      </c>
      <c r="J152" s="395">
        <f>J131+J132</f>
        <v>2</v>
      </c>
      <c r="L152" s="175" t="s">
        <v>397</v>
      </c>
      <c r="M152" s="96"/>
      <c r="N152" s="394">
        <f>IF(O152&lt;&gt;0,SUMPRODUCT(N131:N133,O131:O133)/SUM(O131:O133),0)</f>
        <v>100.86333333333334</v>
      </c>
      <c r="O152" s="395">
        <f>O131+O132+O133</f>
        <v>3</v>
      </c>
      <c r="Q152" s="317"/>
      <c r="R152" s="31"/>
      <c r="S152" s="273"/>
      <c r="T152" s="274"/>
      <c r="V152" s="175" t="s">
        <v>397</v>
      </c>
      <c r="W152" s="96"/>
      <c r="X152" s="394">
        <f>IF(Y152&lt;&gt;0,SUMPRODUCT(X134:X135,Y134:Y135)/SUM(Y134:Y135),0)</f>
        <v>63</v>
      </c>
      <c r="Y152" s="395">
        <f>Y134+Y135</f>
        <v>2</v>
      </c>
      <c r="AA152" s="175" t="s">
        <v>397</v>
      </c>
      <c r="AB152" s="96"/>
      <c r="AC152" s="394">
        <f>IF(AD152&lt;&gt;0,SUMPRODUCT(AC130:AC132,AD130:AD132)/SUM(AD130:AD132),0)</f>
        <v>93.96</v>
      </c>
      <c r="AD152" s="395">
        <f>AD131+AD132+AD130</f>
        <v>3</v>
      </c>
      <c r="AF152" s="175" t="s">
        <v>397</v>
      </c>
      <c r="AG152" s="96"/>
      <c r="AH152" s="394">
        <f>IF(AI152&lt;&gt;0,SUMPRODUCT(AH129:AH131,AI129:AI131)/SUM(AI129:AI131),0)</f>
        <v>107.58999999999999</v>
      </c>
      <c r="AI152" s="395">
        <f>AI131+AI129+AI130</f>
        <v>3</v>
      </c>
      <c r="AK152" s="317"/>
      <c r="AL152" s="31"/>
      <c r="AM152" s="273"/>
      <c r="AN152" s="274"/>
      <c r="AP152" s="175" t="s">
        <v>397</v>
      </c>
      <c r="AQ152" s="96"/>
      <c r="AR152" s="394">
        <f>IF(AS152&lt;&gt;0,SUMPRODUCT(AR135:AR137,AS135:AS137)/SUM(AS135:AS137),0)</f>
        <v>101.75</v>
      </c>
      <c r="AS152" s="395">
        <f>SUM(AS135:AS137)</f>
        <v>3</v>
      </c>
      <c r="AU152" s="175" t="s">
        <v>397</v>
      </c>
      <c r="AV152" s="96"/>
      <c r="AW152" s="394">
        <f>SUMPRODUCT(AW125:AW128,AX125:AX128)/SUM(AX125:AX128)</f>
        <v>323.9525</v>
      </c>
      <c r="AX152" s="395">
        <f>SUM(AX125:AX128)</f>
        <v>4</v>
      </c>
    </row>
    <row r="153" spans="2:50" s="94" customFormat="1" ht="12.75">
      <c r="B153" s="178" t="s">
        <v>400</v>
      </c>
      <c r="C153" s="195"/>
      <c r="D153" s="396"/>
      <c r="E153" s="397"/>
      <c r="G153" s="178" t="s">
        <v>400</v>
      </c>
      <c r="H153" s="195"/>
      <c r="I153" s="400">
        <f>IF(J153&lt;&gt;0,SUMPRODUCT(I133:I134,J133:J134)/SUM(J133:J134),0)</f>
        <v>115.50999999999999</v>
      </c>
      <c r="J153" s="401">
        <f>J134+J133</f>
        <v>2</v>
      </c>
      <c r="L153" s="178" t="s">
        <v>400</v>
      </c>
      <c r="M153" s="195"/>
      <c r="N153" s="400">
        <f>IF(O153&lt;&gt;0,SUMPRODUCT(N134:N135,O134:O135)/SUM(O134:O135),0)</f>
        <v>159.24</v>
      </c>
      <c r="O153" s="401">
        <f>O134+O135</f>
        <v>2</v>
      </c>
      <c r="Q153" s="318"/>
      <c r="R153" s="239"/>
      <c r="S153" s="275"/>
      <c r="T153" s="241"/>
      <c r="V153" s="178" t="s">
        <v>400</v>
      </c>
      <c r="W153" s="195"/>
      <c r="X153" s="400">
        <f>IF(Y153&lt;&gt;0,SUMPRODUCT(X136:X137,Y136:Y137)/SUM(Y136:Y137),0)</f>
        <v>125</v>
      </c>
      <c r="Y153" s="401">
        <f>Y136+Y137</f>
        <v>2</v>
      </c>
      <c r="AA153" s="178" t="s">
        <v>400</v>
      </c>
      <c r="AB153" s="195"/>
      <c r="AC153" s="400">
        <f>IF(AD153&lt;&gt;0,SUMPRODUCT(AC133:AC134,AD133:AD134)/SUM(AD133:AD134),0)</f>
        <v>162.755</v>
      </c>
      <c r="AD153" s="401">
        <f>AD134+AD133</f>
        <v>2</v>
      </c>
      <c r="AF153" s="178" t="s">
        <v>400</v>
      </c>
      <c r="AG153" s="195"/>
      <c r="AH153" s="400">
        <f>IF(AI153&lt;&gt;0,SUMPRODUCT(AH132:AH133,AI132:AI133)/SUM(AI132:AI133),0)</f>
        <v>143.76999999999998</v>
      </c>
      <c r="AI153" s="401">
        <f>AI132+AI133</f>
        <v>2</v>
      </c>
      <c r="AK153" s="318"/>
      <c r="AL153" s="239"/>
      <c r="AM153" s="275"/>
      <c r="AN153" s="241"/>
      <c r="AP153" s="178" t="s">
        <v>400</v>
      </c>
      <c r="AQ153" s="195"/>
      <c r="AR153" s="400">
        <f>IF(AS153&lt;&gt;0,SUMPRODUCT(AR138:AR139,AS138:AS139)/SUM(AS138:AS139),0)</f>
        <v>201.94</v>
      </c>
      <c r="AS153" s="401">
        <f>SUM(AS138:AS139)</f>
        <v>2</v>
      </c>
      <c r="AU153" s="178" t="s">
        <v>400</v>
      </c>
      <c r="AV153" s="195"/>
      <c r="AW153" s="396">
        <f>AW124</f>
        <v>132.66</v>
      </c>
      <c r="AX153" s="397">
        <f>AX124</f>
        <v>1</v>
      </c>
    </row>
    <row r="154" spans="2:50" s="86" customFormat="1" ht="12.75">
      <c r="B154" s="223" t="s">
        <v>451</v>
      </c>
      <c r="C154" s="220"/>
      <c r="D154" s="398">
        <f>SUMPRODUCT(D148:D153,E148:E153)</f>
        <v>1059.03</v>
      </c>
      <c r="E154" s="399"/>
      <c r="G154" s="223" t="s">
        <v>451</v>
      </c>
      <c r="H154" s="220"/>
      <c r="I154" s="398">
        <f>SUMPRODUCT(I148:I153,J148:J153)</f>
        <v>619.23</v>
      </c>
      <c r="J154" s="399"/>
      <c r="L154" s="223" t="s">
        <v>451</v>
      </c>
      <c r="M154" s="220"/>
      <c r="N154" s="398">
        <f>SUMPRODUCT(N148:N153,O148:O153)</f>
        <v>851.8000000000001</v>
      </c>
      <c r="O154" s="399"/>
      <c r="Q154" s="223" t="s">
        <v>451</v>
      </c>
      <c r="R154" s="220"/>
      <c r="S154" s="222">
        <f>SUMPRODUCT(S148:S153,T148:T153)</f>
        <v>0</v>
      </c>
      <c r="T154" s="221"/>
      <c r="V154" s="223" t="s">
        <v>451</v>
      </c>
      <c r="W154" s="220"/>
      <c r="X154" s="398">
        <f>SUMPRODUCT(X148:X153,Y148:Y153)</f>
        <v>559</v>
      </c>
      <c r="Y154" s="399"/>
      <c r="AA154" s="223" t="s">
        <v>451</v>
      </c>
      <c r="AB154" s="220"/>
      <c r="AC154" s="398">
        <f>SUMPRODUCT(AC148:AC153,AD148:AD153)</f>
        <v>839.4</v>
      </c>
      <c r="AD154" s="399"/>
      <c r="AF154" s="223" t="s">
        <v>451</v>
      </c>
      <c r="AG154" s="220"/>
      <c r="AH154" s="398">
        <f>SUMPRODUCT(AH148:AH153,AI148:AI153)</f>
        <v>798.5999999999999</v>
      </c>
      <c r="AI154" s="399"/>
      <c r="AK154" s="223" t="s">
        <v>451</v>
      </c>
      <c r="AL154" s="220"/>
      <c r="AM154" s="222">
        <f>SUMPRODUCT(AM148:AM153,AN148:AN153)</f>
        <v>0</v>
      </c>
      <c r="AN154" s="221"/>
      <c r="AP154" s="223" t="s">
        <v>451</v>
      </c>
      <c r="AQ154" s="220"/>
      <c r="AR154" s="398">
        <f>SUMPRODUCT(AR148:AR153,AS148:AS153)</f>
        <v>1046.1</v>
      </c>
      <c r="AS154" s="399"/>
      <c r="AU154" s="223" t="s">
        <v>451</v>
      </c>
      <c r="AV154" s="220"/>
      <c r="AW154" s="398">
        <f>SUMPRODUCT(AW148:AW153,AX148:AX153)</f>
        <v>2145.46</v>
      </c>
      <c r="AX154" s="399"/>
    </row>
    <row r="155" spans="2:44" ht="12.75">
      <c r="B155" s="94"/>
      <c r="C155" s="94"/>
      <c r="D155" s="94"/>
      <c r="E155" s="94"/>
      <c r="S155" s="94"/>
      <c r="T155" s="94"/>
      <c r="V155" s="94"/>
      <c r="W155" s="94"/>
      <c r="X155" s="94"/>
      <c r="Y155" s="94"/>
      <c r="Z155" s="94"/>
      <c r="AK155" s="94"/>
      <c r="AL155" s="94"/>
      <c r="AM155" s="94"/>
      <c r="AN155" s="94"/>
      <c r="AO155" s="94"/>
      <c r="AP155" s="94"/>
      <c r="AQ155" s="94"/>
      <c r="AR155" s="94"/>
    </row>
    <row r="156" spans="2:44" ht="12.75">
      <c r="B156" s="94"/>
      <c r="C156" s="94"/>
      <c r="D156" s="94"/>
      <c r="E156" s="94"/>
      <c r="S156" s="94"/>
      <c r="T156" s="94"/>
      <c r="V156" s="94"/>
      <c r="W156" s="94"/>
      <c r="X156" s="94"/>
      <c r="Y156" s="94"/>
      <c r="Z156" s="94"/>
      <c r="AK156" s="94"/>
      <c r="AL156" s="94"/>
      <c r="AM156" s="94"/>
      <c r="AN156" s="94"/>
      <c r="AO156" s="94"/>
      <c r="AP156" s="94"/>
      <c r="AQ156" s="94"/>
      <c r="AR156" s="9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AX250"/>
  <sheetViews>
    <sheetView showGridLines="0" zoomScale="85" zoomScaleNormal="85" workbookViewId="0" topLeftCell="A1">
      <selection activeCell="I1" sqref="I1"/>
    </sheetView>
  </sheetViews>
  <sheetFormatPr defaultColWidth="9.140625" defaultRowHeight="12.75"/>
  <cols>
    <col min="1" max="1" width="14.421875" style="0" customWidth="1"/>
    <col min="2" max="2" width="19.00390625" style="0" customWidth="1"/>
    <col min="4" max="5" width="9.8515625" style="0" customWidth="1"/>
    <col min="6" max="6" width="14.00390625" style="0" customWidth="1"/>
    <col min="7" max="7" width="9.8515625" style="0" customWidth="1"/>
    <col min="9" max="9" width="9.28125" style="0" bestFit="1" customWidth="1"/>
    <col min="11" max="11" width="10.8515625" style="0" customWidth="1"/>
    <col min="13" max="13" width="8.7109375" style="0" customWidth="1"/>
    <col min="14" max="14" width="10.7109375" style="0" customWidth="1"/>
    <col min="21" max="21" width="9.421875" style="0" customWidth="1"/>
    <col min="24" max="24" width="10.8515625" style="0" customWidth="1"/>
    <col min="25" max="25" width="9.28125" style="0" customWidth="1"/>
    <col min="29" max="30" width="9.28125" style="0" customWidth="1"/>
    <col min="34" max="34" width="10.28125" style="0" customWidth="1"/>
    <col min="35" max="35" width="9.28125" style="0" bestFit="1" customWidth="1"/>
    <col min="37" max="37" width="9.421875" style="0" bestFit="1" customWidth="1"/>
    <col min="39" max="39" width="9.28125" style="0" bestFit="1" customWidth="1"/>
  </cols>
  <sheetData>
    <row r="1" s="280" customFormat="1" ht="123.75" customHeight="1">
      <c r="A1" s="279" t="s">
        <v>460</v>
      </c>
    </row>
    <row r="2" ht="12.75">
      <c r="A2" s="198" t="s">
        <v>461</v>
      </c>
    </row>
    <row r="3" ht="12.75">
      <c r="A3" s="198" t="s">
        <v>475</v>
      </c>
    </row>
    <row r="4" ht="12.75">
      <c r="A4" s="171"/>
    </row>
    <row r="6" spans="1:12" s="199" customFormat="1" ht="12.75">
      <c r="A6" s="83" t="s">
        <v>466</v>
      </c>
      <c r="B6" s="83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ht="12.75">
      <c r="A7" s="120"/>
    </row>
    <row r="8" spans="1:47" s="94" customFormat="1" ht="15.75">
      <c r="A8" s="86"/>
      <c r="B8" s="122" t="s">
        <v>286</v>
      </c>
      <c r="G8" s="122" t="s">
        <v>29</v>
      </c>
      <c r="L8" s="122" t="s">
        <v>287</v>
      </c>
      <c r="Q8" s="122" t="s">
        <v>288</v>
      </c>
      <c r="V8" s="122" t="s">
        <v>289</v>
      </c>
      <c r="AA8" s="122" t="s">
        <v>149</v>
      </c>
      <c r="AF8" s="122" t="s">
        <v>290</v>
      </c>
      <c r="AK8" s="122" t="s">
        <v>195</v>
      </c>
      <c r="AP8" s="122" t="s">
        <v>151</v>
      </c>
      <c r="AU8" s="123" t="s">
        <v>30</v>
      </c>
    </row>
    <row r="9" spans="1:50" s="94" customFormat="1" ht="12.75">
      <c r="A9" s="86"/>
      <c r="B9" s="124" t="s">
        <v>252</v>
      </c>
      <c r="C9" s="125"/>
      <c r="D9" s="183" t="s">
        <v>402</v>
      </c>
      <c r="E9" s="184" t="s">
        <v>403</v>
      </c>
      <c r="G9" s="124" t="s">
        <v>252</v>
      </c>
      <c r="H9" s="125"/>
      <c r="I9" s="183" t="s">
        <v>402</v>
      </c>
      <c r="J9" s="184" t="s">
        <v>403</v>
      </c>
      <c r="L9" s="124" t="s">
        <v>252</v>
      </c>
      <c r="M9" s="125"/>
      <c r="N9" s="183" t="s">
        <v>402</v>
      </c>
      <c r="O9" s="184" t="s">
        <v>403</v>
      </c>
      <c r="Q9" s="124" t="s">
        <v>252</v>
      </c>
      <c r="R9" s="125"/>
      <c r="S9" s="183" t="s">
        <v>402</v>
      </c>
      <c r="T9" s="184" t="s">
        <v>403</v>
      </c>
      <c r="V9" s="124" t="s">
        <v>252</v>
      </c>
      <c r="W9" s="125"/>
      <c r="X9" s="183" t="s">
        <v>402</v>
      </c>
      <c r="Y9" s="184" t="s">
        <v>403</v>
      </c>
      <c r="AA9" s="124" t="s">
        <v>252</v>
      </c>
      <c r="AB9" s="125"/>
      <c r="AC9" s="183" t="s">
        <v>402</v>
      </c>
      <c r="AD9" s="184" t="s">
        <v>403</v>
      </c>
      <c r="AF9" s="124" t="s">
        <v>252</v>
      </c>
      <c r="AG9" s="125"/>
      <c r="AH9" s="183" t="s">
        <v>402</v>
      </c>
      <c r="AI9" s="184" t="s">
        <v>403</v>
      </c>
      <c r="AK9" s="124" t="s">
        <v>252</v>
      </c>
      <c r="AL9" s="125"/>
      <c r="AM9" s="183" t="s">
        <v>402</v>
      </c>
      <c r="AN9" s="184" t="s">
        <v>403</v>
      </c>
      <c r="AP9" s="124" t="s">
        <v>252</v>
      </c>
      <c r="AQ9" s="125"/>
      <c r="AR9" s="183" t="s">
        <v>402</v>
      </c>
      <c r="AS9" s="184" t="s">
        <v>403</v>
      </c>
      <c r="AU9" s="124" t="s">
        <v>252</v>
      </c>
      <c r="AV9" s="125"/>
      <c r="AW9" s="183" t="s">
        <v>402</v>
      </c>
      <c r="AX9" s="184" t="s">
        <v>403</v>
      </c>
    </row>
    <row r="10" spans="1:50" s="94" customFormat="1" ht="12.75">
      <c r="A10" s="86"/>
      <c r="B10" s="126" t="s">
        <v>291</v>
      </c>
      <c r="C10" s="127"/>
      <c r="D10" s="128">
        <v>0</v>
      </c>
      <c r="E10" s="129">
        <v>0</v>
      </c>
      <c r="G10" s="126" t="s">
        <v>292</v>
      </c>
      <c r="H10" s="127"/>
      <c r="I10" s="128">
        <v>0</v>
      </c>
      <c r="J10" s="129">
        <v>0</v>
      </c>
      <c r="L10" s="126" t="s">
        <v>293</v>
      </c>
      <c r="M10" s="127"/>
      <c r="N10" s="130">
        <v>7.68</v>
      </c>
      <c r="O10" s="131">
        <v>726649</v>
      </c>
      <c r="Q10" s="126" t="s">
        <v>291</v>
      </c>
      <c r="R10" s="127"/>
      <c r="S10" s="128">
        <v>0</v>
      </c>
      <c r="T10" s="129">
        <v>0</v>
      </c>
      <c r="V10" s="126" t="s">
        <v>294</v>
      </c>
      <c r="W10" s="127"/>
      <c r="X10" s="128">
        <v>0</v>
      </c>
      <c r="Y10" s="129">
        <v>0</v>
      </c>
      <c r="AA10" s="126" t="s">
        <v>291</v>
      </c>
      <c r="AB10" s="127"/>
      <c r="AC10" s="128">
        <v>0</v>
      </c>
      <c r="AD10" s="129">
        <v>0</v>
      </c>
      <c r="AF10" s="132" t="s">
        <v>295</v>
      </c>
      <c r="AG10" s="127"/>
      <c r="AH10" s="133">
        <v>16.32</v>
      </c>
      <c r="AI10" s="134">
        <v>2635276.1929240916</v>
      </c>
      <c r="AK10" s="126" t="s">
        <v>296</v>
      </c>
      <c r="AL10" s="127"/>
      <c r="AM10" s="128">
        <v>0</v>
      </c>
      <c r="AN10" s="129">
        <v>0</v>
      </c>
      <c r="AP10" s="126" t="s">
        <v>291</v>
      </c>
      <c r="AQ10" s="127"/>
      <c r="AR10" s="128">
        <v>0</v>
      </c>
      <c r="AS10" s="129">
        <v>0</v>
      </c>
      <c r="AU10" s="126" t="s">
        <v>297</v>
      </c>
      <c r="AV10" s="127"/>
      <c r="AW10" s="135">
        <v>4968.37</v>
      </c>
      <c r="AX10" s="136">
        <v>16.858060927577267</v>
      </c>
    </row>
    <row r="11" spans="1:50" s="94" customFormat="1" ht="12.75">
      <c r="A11" s="86"/>
      <c r="B11" s="126" t="s">
        <v>237</v>
      </c>
      <c r="C11" s="137"/>
      <c r="D11" s="138">
        <v>0</v>
      </c>
      <c r="E11" s="139">
        <v>0</v>
      </c>
      <c r="G11" s="126" t="s">
        <v>237</v>
      </c>
      <c r="H11" s="137"/>
      <c r="I11" s="138">
        <v>0</v>
      </c>
      <c r="J11" s="139">
        <v>0</v>
      </c>
      <c r="L11" s="126" t="s">
        <v>298</v>
      </c>
      <c r="M11" s="137"/>
      <c r="N11" s="140">
        <v>20.04</v>
      </c>
      <c r="O11" s="141">
        <v>1766883</v>
      </c>
      <c r="Q11" s="126" t="s">
        <v>237</v>
      </c>
      <c r="R11" s="137"/>
      <c r="S11" s="138">
        <v>0</v>
      </c>
      <c r="T11" s="139">
        <v>0</v>
      </c>
      <c r="V11" s="126" t="s">
        <v>299</v>
      </c>
      <c r="W11" s="137"/>
      <c r="X11" s="138">
        <v>0</v>
      </c>
      <c r="Y11" s="139">
        <v>0</v>
      </c>
      <c r="AA11" s="126" t="s">
        <v>237</v>
      </c>
      <c r="AB11" s="137"/>
      <c r="AC11" s="138">
        <v>0</v>
      </c>
      <c r="AD11" s="139">
        <v>0</v>
      </c>
      <c r="AF11" s="126" t="s">
        <v>300</v>
      </c>
      <c r="AG11" s="137"/>
      <c r="AH11" s="142">
        <v>25.2</v>
      </c>
      <c r="AI11" s="143">
        <v>79450.39076229109</v>
      </c>
      <c r="AK11" s="126" t="s">
        <v>301</v>
      </c>
      <c r="AL11" s="137"/>
      <c r="AM11" s="144">
        <v>1830</v>
      </c>
      <c r="AN11" s="145">
        <v>1</v>
      </c>
      <c r="AP11" s="126" t="s">
        <v>237</v>
      </c>
      <c r="AQ11" s="137"/>
      <c r="AR11" s="138">
        <v>0</v>
      </c>
      <c r="AS11" s="139">
        <v>0</v>
      </c>
      <c r="AU11" s="126" t="s">
        <v>302</v>
      </c>
      <c r="AV11" s="137"/>
      <c r="AW11" s="146">
        <v>1632.46</v>
      </c>
      <c r="AX11" s="147">
        <v>89.59757837816291</v>
      </c>
    </row>
    <row r="12" spans="1:50" s="94" customFormat="1" ht="12.75">
      <c r="A12" s="86"/>
      <c r="B12" s="126" t="s">
        <v>303</v>
      </c>
      <c r="C12" s="137"/>
      <c r="D12" s="138">
        <v>0</v>
      </c>
      <c r="E12" s="139">
        <v>0</v>
      </c>
      <c r="G12" s="126" t="s">
        <v>304</v>
      </c>
      <c r="H12" s="137"/>
      <c r="I12" s="148">
        <v>6973.68</v>
      </c>
      <c r="J12" s="145">
        <v>25.4166666666667</v>
      </c>
      <c r="L12" s="126" t="s">
        <v>305</v>
      </c>
      <c r="M12" s="137"/>
      <c r="N12" s="149">
        <v>40.8</v>
      </c>
      <c r="O12" s="143">
        <v>65707</v>
      </c>
      <c r="Q12" s="126" t="s">
        <v>306</v>
      </c>
      <c r="R12" s="137"/>
      <c r="S12" s="144">
        <v>2046</v>
      </c>
      <c r="T12" s="145">
        <v>19</v>
      </c>
      <c r="V12" s="126" t="s">
        <v>307</v>
      </c>
      <c r="W12" s="137"/>
      <c r="X12" s="144">
        <v>2046</v>
      </c>
      <c r="Y12" s="145">
        <v>874</v>
      </c>
      <c r="AA12" s="126" t="s">
        <v>303</v>
      </c>
      <c r="AB12" s="137"/>
      <c r="AC12" s="138">
        <v>0</v>
      </c>
      <c r="AD12" s="139">
        <v>0</v>
      </c>
      <c r="AF12" s="126" t="s">
        <v>308</v>
      </c>
      <c r="AG12" s="137"/>
      <c r="AH12" s="142">
        <v>30.6</v>
      </c>
      <c r="AI12" s="143">
        <v>32170.0924794521</v>
      </c>
      <c r="AK12" s="126" t="s">
        <v>309</v>
      </c>
      <c r="AL12" s="137"/>
      <c r="AM12" s="144">
        <v>2757</v>
      </c>
      <c r="AN12" s="145">
        <v>1</v>
      </c>
      <c r="AP12" s="126" t="s">
        <v>303</v>
      </c>
      <c r="AQ12" s="137"/>
      <c r="AR12" s="138">
        <v>0</v>
      </c>
      <c r="AS12" s="139">
        <v>0</v>
      </c>
      <c r="AU12" s="126" t="s">
        <v>310</v>
      </c>
      <c r="AV12" s="137"/>
      <c r="AW12" s="146">
        <v>631.68</v>
      </c>
      <c r="AX12" s="147">
        <v>51.37744264913773</v>
      </c>
    </row>
    <row r="13" spans="1:50" s="94" customFormat="1" ht="12.75">
      <c r="A13" s="86"/>
      <c r="B13" s="126" t="s">
        <v>311</v>
      </c>
      <c r="C13" s="137"/>
      <c r="D13" s="138">
        <v>0</v>
      </c>
      <c r="E13" s="139">
        <v>0</v>
      </c>
      <c r="G13" s="126" t="s">
        <v>311</v>
      </c>
      <c r="H13" s="137"/>
      <c r="I13" s="150">
        <v>0</v>
      </c>
      <c r="J13" s="139">
        <v>0</v>
      </c>
      <c r="L13" s="126" t="s">
        <v>312</v>
      </c>
      <c r="M13" s="137"/>
      <c r="N13" s="151">
        <v>57.96</v>
      </c>
      <c r="O13" s="152">
        <v>10856.7</v>
      </c>
      <c r="Q13" s="126" t="s">
        <v>311</v>
      </c>
      <c r="R13" s="137"/>
      <c r="S13" s="138">
        <v>0</v>
      </c>
      <c r="T13" s="139">
        <v>0</v>
      </c>
      <c r="V13" s="126" t="s">
        <v>313</v>
      </c>
      <c r="W13" s="137"/>
      <c r="X13" s="144">
        <v>1762</v>
      </c>
      <c r="Y13" s="145">
        <v>383</v>
      </c>
      <c r="AA13" s="126" t="s">
        <v>314</v>
      </c>
      <c r="AB13" s="137"/>
      <c r="AC13" s="144">
        <v>1908.42</v>
      </c>
      <c r="AD13" s="145">
        <v>5</v>
      </c>
      <c r="AF13" s="126" t="s">
        <v>315</v>
      </c>
      <c r="AG13" s="137"/>
      <c r="AH13" s="153">
        <v>110.04</v>
      </c>
      <c r="AI13" s="152">
        <v>8670</v>
      </c>
      <c r="AK13" s="126" t="s">
        <v>241</v>
      </c>
      <c r="AL13" s="137"/>
      <c r="AM13" s="138">
        <v>0</v>
      </c>
      <c r="AN13" s="139">
        <v>0</v>
      </c>
      <c r="AP13" s="126" t="s">
        <v>316</v>
      </c>
      <c r="AQ13" s="137"/>
      <c r="AR13" s="146">
        <v>1344</v>
      </c>
      <c r="AS13" s="147">
        <v>1</v>
      </c>
      <c r="AU13" s="126" t="s">
        <v>317</v>
      </c>
      <c r="AV13" s="137"/>
      <c r="AW13" s="146">
        <v>542.26</v>
      </c>
      <c r="AX13" s="147">
        <v>37.19280796500764</v>
      </c>
    </row>
    <row r="14" spans="1:50" s="94" customFormat="1" ht="12.75">
      <c r="A14" s="86"/>
      <c r="B14" s="126" t="s">
        <v>318</v>
      </c>
      <c r="C14" s="137"/>
      <c r="D14" s="146">
        <v>369.03</v>
      </c>
      <c r="E14" s="147">
        <v>31</v>
      </c>
      <c r="G14" s="126" t="s">
        <v>319</v>
      </c>
      <c r="H14" s="137"/>
      <c r="I14" s="154">
        <v>1046.64</v>
      </c>
      <c r="J14" s="147">
        <v>315.25</v>
      </c>
      <c r="L14" s="126" t="s">
        <v>320</v>
      </c>
      <c r="M14" s="137"/>
      <c r="N14" s="146">
        <v>521.28</v>
      </c>
      <c r="O14" s="147">
        <v>7338.9</v>
      </c>
      <c r="Q14" s="126" t="s">
        <v>321</v>
      </c>
      <c r="R14" s="137"/>
      <c r="S14" s="146">
        <v>651</v>
      </c>
      <c r="T14" s="147">
        <v>73</v>
      </c>
      <c r="V14" s="126" t="s">
        <v>322</v>
      </c>
      <c r="W14" s="137"/>
      <c r="X14" s="146">
        <v>651</v>
      </c>
      <c r="Y14" s="147">
        <v>8566</v>
      </c>
      <c r="AA14" s="126" t="s">
        <v>323</v>
      </c>
      <c r="AB14" s="137"/>
      <c r="AC14" s="146">
        <v>632.34</v>
      </c>
      <c r="AD14" s="147">
        <v>588</v>
      </c>
      <c r="AF14" s="126" t="s">
        <v>324</v>
      </c>
      <c r="AG14" s="137"/>
      <c r="AH14" s="153">
        <v>123</v>
      </c>
      <c r="AI14" s="152">
        <v>3351</v>
      </c>
      <c r="AK14" s="126" t="s">
        <v>325</v>
      </c>
      <c r="AL14" s="137"/>
      <c r="AM14" s="146">
        <v>999</v>
      </c>
      <c r="AN14" s="147">
        <v>23</v>
      </c>
      <c r="AP14" s="126" t="s">
        <v>326</v>
      </c>
      <c r="AQ14" s="137"/>
      <c r="AR14" s="146">
        <v>451.8</v>
      </c>
      <c r="AS14" s="147">
        <v>19</v>
      </c>
      <c r="AU14" s="126" t="s">
        <v>327</v>
      </c>
      <c r="AV14" s="137"/>
      <c r="AW14" s="146">
        <v>361.98</v>
      </c>
      <c r="AX14" s="147">
        <v>162.516604995348</v>
      </c>
    </row>
    <row r="15" spans="1:50" s="94" customFormat="1" ht="12.75">
      <c r="A15" s="86"/>
      <c r="B15" s="126" t="s">
        <v>328</v>
      </c>
      <c r="C15" s="137"/>
      <c r="D15" s="151">
        <v>322.63</v>
      </c>
      <c r="E15" s="152">
        <v>189</v>
      </c>
      <c r="G15" s="126" t="s">
        <v>329</v>
      </c>
      <c r="H15" s="137"/>
      <c r="I15" s="151">
        <v>151.44</v>
      </c>
      <c r="J15" s="152">
        <v>1227.1666666666667</v>
      </c>
      <c r="L15" s="126" t="s">
        <v>330</v>
      </c>
      <c r="M15" s="137"/>
      <c r="N15" s="146">
        <v>1236</v>
      </c>
      <c r="O15" s="147">
        <v>481</v>
      </c>
      <c r="Q15" s="126" t="s">
        <v>331</v>
      </c>
      <c r="R15" s="137"/>
      <c r="S15" s="151">
        <v>164</v>
      </c>
      <c r="T15" s="152">
        <v>285</v>
      </c>
      <c r="V15" s="126" t="s">
        <v>332</v>
      </c>
      <c r="W15" s="137"/>
      <c r="X15" s="151">
        <v>164</v>
      </c>
      <c r="Y15" s="152">
        <v>26937</v>
      </c>
      <c r="AA15" s="126" t="s">
        <v>333</v>
      </c>
      <c r="AB15" s="137"/>
      <c r="AC15" s="151">
        <v>220</v>
      </c>
      <c r="AD15" s="152">
        <v>739.7711606757068</v>
      </c>
      <c r="AF15" s="126" t="s">
        <v>334</v>
      </c>
      <c r="AG15" s="137"/>
      <c r="AH15" s="155">
        <v>507</v>
      </c>
      <c r="AI15" s="147">
        <v>10229</v>
      </c>
      <c r="AK15" s="126" t="s">
        <v>335</v>
      </c>
      <c r="AL15" s="137"/>
      <c r="AM15" s="151">
        <v>57.6</v>
      </c>
      <c r="AN15" s="152">
        <v>152</v>
      </c>
      <c r="AP15" s="126" t="s">
        <v>336</v>
      </c>
      <c r="AQ15" s="137"/>
      <c r="AR15" s="151">
        <v>153.6</v>
      </c>
      <c r="AS15" s="152">
        <v>127.5</v>
      </c>
      <c r="AU15" s="126" t="s">
        <v>337</v>
      </c>
      <c r="AV15" s="137"/>
      <c r="AW15" s="151">
        <v>178.86</v>
      </c>
      <c r="AX15" s="152">
        <v>98.06939838777241</v>
      </c>
    </row>
    <row r="16" spans="1:50" s="94" customFormat="1" ht="12.75">
      <c r="A16" s="86"/>
      <c r="B16" s="126" t="s">
        <v>338</v>
      </c>
      <c r="C16" s="137"/>
      <c r="D16" s="151">
        <v>16.15</v>
      </c>
      <c r="E16" s="152">
        <v>307</v>
      </c>
      <c r="G16" s="126" t="s">
        <v>339</v>
      </c>
      <c r="H16" s="137"/>
      <c r="I16" s="151">
        <v>36.24</v>
      </c>
      <c r="J16" s="152">
        <v>452</v>
      </c>
      <c r="L16" s="126" t="s">
        <v>340</v>
      </c>
      <c r="M16" s="137"/>
      <c r="N16" s="144">
        <v>6966.96</v>
      </c>
      <c r="O16" s="145">
        <v>128</v>
      </c>
      <c r="Q16" s="126" t="s">
        <v>341</v>
      </c>
      <c r="R16" s="137"/>
      <c r="S16" s="151">
        <v>164</v>
      </c>
      <c r="T16" s="152">
        <v>0</v>
      </c>
      <c r="V16" s="126" t="s">
        <v>342</v>
      </c>
      <c r="W16" s="137"/>
      <c r="X16" s="151">
        <v>164</v>
      </c>
      <c r="Y16" s="152">
        <v>4641</v>
      </c>
      <c r="AA16" s="126" t="s">
        <v>341</v>
      </c>
      <c r="AB16" s="137"/>
      <c r="AC16" s="151">
        <v>0</v>
      </c>
      <c r="AD16" s="152">
        <v>0</v>
      </c>
      <c r="AF16" s="126" t="s">
        <v>343</v>
      </c>
      <c r="AG16" s="156"/>
      <c r="AH16" s="155">
        <v>936</v>
      </c>
      <c r="AI16" s="147">
        <v>44</v>
      </c>
      <c r="AK16" s="126" t="s">
        <v>344</v>
      </c>
      <c r="AL16" s="137"/>
      <c r="AM16" s="151">
        <v>7.68</v>
      </c>
      <c r="AN16" s="152">
        <v>155</v>
      </c>
      <c r="AP16" s="126" t="s">
        <v>345</v>
      </c>
      <c r="AQ16" s="137"/>
      <c r="AR16" s="151">
        <v>34.74</v>
      </c>
      <c r="AS16" s="152">
        <v>87.8</v>
      </c>
      <c r="AU16" s="126" t="s">
        <v>346</v>
      </c>
      <c r="AV16" s="137"/>
      <c r="AW16" s="151">
        <v>178.86</v>
      </c>
      <c r="AX16" s="152">
        <v>21.958415889648503</v>
      </c>
    </row>
    <row r="17" spans="1:50" s="94" customFormat="1" ht="12.75">
      <c r="A17" s="86"/>
      <c r="B17" s="126" t="s">
        <v>347</v>
      </c>
      <c r="C17" s="137"/>
      <c r="D17" s="149">
        <v>13.46</v>
      </c>
      <c r="E17" s="143">
        <v>1056</v>
      </c>
      <c r="G17" s="126" t="s">
        <v>348</v>
      </c>
      <c r="H17" s="137"/>
      <c r="I17" s="149">
        <v>36.24</v>
      </c>
      <c r="J17" s="143">
        <v>5670.153333333333</v>
      </c>
      <c r="L17" s="157"/>
      <c r="M17" s="158"/>
      <c r="N17" s="159"/>
      <c r="O17" s="160"/>
      <c r="Q17" s="126" t="s">
        <v>349</v>
      </c>
      <c r="R17" s="137"/>
      <c r="S17" s="149">
        <v>34.5</v>
      </c>
      <c r="T17" s="143">
        <v>1188</v>
      </c>
      <c r="V17" s="126" t="s">
        <v>350</v>
      </c>
      <c r="W17" s="137"/>
      <c r="X17" s="149">
        <v>34.5</v>
      </c>
      <c r="Y17" s="143">
        <v>63442</v>
      </c>
      <c r="AA17" s="126" t="s">
        <v>351</v>
      </c>
      <c r="AB17" s="137"/>
      <c r="AC17" s="149">
        <v>14.3</v>
      </c>
      <c r="AD17" s="143">
        <v>699.9382658898834</v>
      </c>
      <c r="AF17" s="126" t="s">
        <v>352</v>
      </c>
      <c r="AG17" s="137"/>
      <c r="AH17" s="155">
        <v>1494</v>
      </c>
      <c r="AI17" s="147">
        <v>1545</v>
      </c>
      <c r="AK17" s="126" t="s">
        <v>353</v>
      </c>
      <c r="AL17" s="137"/>
      <c r="AM17" s="149">
        <v>7.68</v>
      </c>
      <c r="AN17" s="143">
        <v>1656</v>
      </c>
      <c r="AP17" s="126" t="s">
        <v>354</v>
      </c>
      <c r="AQ17" s="137"/>
      <c r="AR17" s="149">
        <v>34.74</v>
      </c>
      <c r="AS17" s="143">
        <v>1084.5</v>
      </c>
      <c r="AU17" s="126" t="s">
        <v>355</v>
      </c>
      <c r="AV17" s="137"/>
      <c r="AW17" s="151">
        <v>136.28</v>
      </c>
      <c r="AX17" s="152">
        <v>31.72748352511857</v>
      </c>
    </row>
    <row r="18" spans="1:50" s="94" customFormat="1" ht="12.75">
      <c r="A18" s="86"/>
      <c r="B18" s="126" t="s">
        <v>356</v>
      </c>
      <c r="C18" s="137"/>
      <c r="D18" s="149">
        <v>13.46</v>
      </c>
      <c r="E18" s="143">
        <v>514</v>
      </c>
      <c r="G18" s="126" t="s">
        <v>357</v>
      </c>
      <c r="H18" s="137"/>
      <c r="I18" s="149">
        <v>36.24</v>
      </c>
      <c r="J18" s="143">
        <v>2001.5725</v>
      </c>
      <c r="O18" s="161"/>
      <c r="Q18" s="126" t="s">
        <v>358</v>
      </c>
      <c r="R18" s="137"/>
      <c r="S18" s="149">
        <v>34.5</v>
      </c>
      <c r="T18" s="143">
        <v>392</v>
      </c>
      <c r="V18" s="126" t="s">
        <v>359</v>
      </c>
      <c r="W18" s="137"/>
      <c r="X18" s="149">
        <v>34.5</v>
      </c>
      <c r="Y18" s="143">
        <v>0</v>
      </c>
      <c r="AA18" s="126" t="s">
        <v>360</v>
      </c>
      <c r="AB18" s="137"/>
      <c r="AC18" s="149">
        <v>14.3</v>
      </c>
      <c r="AD18" s="143">
        <v>2223.042211729736</v>
      </c>
      <c r="AF18" s="126" t="s">
        <v>361</v>
      </c>
      <c r="AG18" s="137"/>
      <c r="AH18" s="162">
        <v>6600</v>
      </c>
      <c r="AI18" s="145">
        <v>120</v>
      </c>
      <c r="AK18" s="126" t="s">
        <v>362</v>
      </c>
      <c r="AL18" s="137"/>
      <c r="AM18" s="149">
        <v>7.68</v>
      </c>
      <c r="AN18" s="143">
        <v>214</v>
      </c>
      <c r="AP18" s="126" t="s">
        <v>363</v>
      </c>
      <c r="AQ18" s="137"/>
      <c r="AR18" s="149">
        <v>0</v>
      </c>
      <c r="AS18" s="143">
        <v>0</v>
      </c>
      <c r="AU18" s="126" t="s">
        <v>364</v>
      </c>
      <c r="AV18" s="137"/>
      <c r="AW18" s="151">
        <v>136.28</v>
      </c>
      <c r="AX18" s="152">
        <v>167.7137777063648</v>
      </c>
    </row>
    <row r="19" spans="1:50" s="94" customFormat="1" ht="12.75">
      <c r="A19" s="86"/>
      <c r="B19" s="126" t="s">
        <v>365</v>
      </c>
      <c r="C19" s="137"/>
      <c r="D19" s="140">
        <v>13.46</v>
      </c>
      <c r="E19" s="141">
        <v>30659</v>
      </c>
      <c r="G19" s="126" t="s">
        <v>366</v>
      </c>
      <c r="H19" s="137"/>
      <c r="I19" s="140">
        <v>21.96</v>
      </c>
      <c r="J19" s="141">
        <v>72379.44583333335</v>
      </c>
      <c r="Q19" s="126" t="s">
        <v>367</v>
      </c>
      <c r="R19" s="137"/>
      <c r="S19" s="140">
        <v>30.2</v>
      </c>
      <c r="T19" s="141">
        <v>19294</v>
      </c>
      <c r="V19" s="126" t="s">
        <v>368</v>
      </c>
      <c r="W19" s="137"/>
      <c r="X19" s="140">
        <v>30.2</v>
      </c>
      <c r="Y19" s="141">
        <v>1049026</v>
      </c>
      <c r="AA19" s="126" t="s">
        <v>369</v>
      </c>
      <c r="AB19" s="137"/>
      <c r="AC19" s="140">
        <v>14.3</v>
      </c>
      <c r="AD19" s="141">
        <v>7255.631412656911</v>
      </c>
      <c r="AF19" s="126" t="s">
        <v>370</v>
      </c>
      <c r="AG19" s="137"/>
      <c r="AH19" s="162">
        <v>9612</v>
      </c>
      <c r="AI19" s="145">
        <v>45</v>
      </c>
      <c r="AK19" s="126" t="s">
        <v>371</v>
      </c>
      <c r="AL19" s="137"/>
      <c r="AM19" s="140">
        <v>7.68</v>
      </c>
      <c r="AN19" s="141">
        <v>25041</v>
      </c>
      <c r="AP19" s="126" t="s">
        <v>372</v>
      </c>
      <c r="AQ19" s="137"/>
      <c r="AR19" s="140">
        <v>21.42</v>
      </c>
      <c r="AS19" s="141">
        <v>16985.6</v>
      </c>
      <c r="AU19" s="126" t="s">
        <v>373</v>
      </c>
      <c r="AV19" s="137"/>
      <c r="AW19" s="151">
        <v>131.58</v>
      </c>
      <c r="AX19" s="152">
        <v>94.24817394489953</v>
      </c>
    </row>
    <row r="20" spans="1:50" s="94" customFormat="1" ht="12.75">
      <c r="A20" s="86"/>
      <c r="B20" s="126" t="s">
        <v>374</v>
      </c>
      <c r="C20" s="137"/>
      <c r="D20" s="140">
        <v>13.46</v>
      </c>
      <c r="E20" s="141">
        <v>18395</v>
      </c>
      <c r="G20" s="126" t="s">
        <v>375</v>
      </c>
      <c r="H20" s="137"/>
      <c r="I20" s="140">
        <v>21.96</v>
      </c>
      <c r="J20" s="141">
        <v>114971.20500000002</v>
      </c>
      <c r="Q20" s="126" t="s">
        <v>376</v>
      </c>
      <c r="R20" s="137"/>
      <c r="S20" s="140">
        <v>30.2</v>
      </c>
      <c r="T20" s="141">
        <v>25105</v>
      </c>
      <c r="V20" s="126" t="s">
        <v>377</v>
      </c>
      <c r="W20" s="137"/>
      <c r="X20" s="140">
        <v>30.2</v>
      </c>
      <c r="Y20" s="141">
        <v>1308925</v>
      </c>
      <c r="AA20" s="126" t="s">
        <v>378</v>
      </c>
      <c r="AB20" s="137"/>
      <c r="AC20" s="140">
        <v>14.3</v>
      </c>
      <c r="AD20" s="141">
        <v>87909.51534650881</v>
      </c>
      <c r="AF20" s="126" t="s">
        <v>379</v>
      </c>
      <c r="AG20" s="137"/>
      <c r="AH20" s="163">
        <v>8.4</v>
      </c>
      <c r="AI20" s="164">
        <v>713241</v>
      </c>
      <c r="AK20" s="126" t="s">
        <v>380</v>
      </c>
      <c r="AL20" s="137"/>
      <c r="AM20" s="140">
        <v>7.68</v>
      </c>
      <c r="AN20" s="141">
        <v>10050</v>
      </c>
      <c r="AP20" s="126" t="s">
        <v>381</v>
      </c>
      <c r="AQ20" s="137"/>
      <c r="AR20" s="140">
        <v>21.42</v>
      </c>
      <c r="AS20" s="141">
        <v>12267</v>
      </c>
      <c r="AU20" s="126" t="s">
        <v>382</v>
      </c>
      <c r="AV20" s="137"/>
      <c r="AW20" s="151">
        <v>123.78</v>
      </c>
      <c r="AX20" s="152">
        <v>628.7536573899245</v>
      </c>
    </row>
    <row r="21" spans="1:50" s="94" customFormat="1" ht="12.75">
      <c r="A21" s="86"/>
      <c r="B21" s="126" t="s">
        <v>383</v>
      </c>
      <c r="C21" s="137"/>
      <c r="D21" s="165">
        <v>4.7</v>
      </c>
      <c r="E21" s="166">
        <v>21440</v>
      </c>
      <c r="G21" s="126" t="s">
        <v>384</v>
      </c>
      <c r="H21" s="137"/>
      <c r="I21" s="167">
        <v>2.28</v>
      </c>
      <c r="J21" s="164">
        <v>81115.33333333333</v>
      </c>
      <c r="Q21" s="126" t="s">
        <v>385</v>
      </c>
      <c r="R21" s="137"/>
      <c r="S21" s="167">
        <v>3.65</v>
      </c>
      <c r="T21" s="164">
        <v>14987</v>
      </c>
      <c r="V21" s="126" t="s">
        <v>386</v>
      </c>
      <c r="W21" s="137"/>
      <c r="X21" s="167">
        <v>3.65</v>
      </c>
      <c r="Y21" s="164">
        <v>874277</v>
      </c>
      <c r="AA21" s="126" t="s">
        <v>387</v>
      </c>
      <c r="AB21" s="137"/>
      <c r="AC21" s="167">
        <v>6.75</v>
      </c>
      <c r="AD21" s="164">
        <v>40214.5</v>
      </c>
      <c r="AF21" s="157"/>
      <c r="AG21" s="158"/>
      <c r="AH21" s="168"/>
      <c r="AI21" s="160"/>
      <c r="AK21" s="126" t="s">
        <v>388</v>
      </c>
      <c r="AL21" s="137"/>
      <c r="AM21" s="167">
        <v>2.34</v>
      </c>
      <c r="AN21" s="164">
        <v>8347</v>
      </c>
      <c r="AP21" s="126" t="s">
        <v>389</v>
      </c>
      <c r="AQ21" s="137"/>
      <c r="AR21" s="167">
        <v>10.62</v>
      </c>
      <c r="AS21" s="164">
        <v>17296</v>
      </c>
      <c r="AU21" s="126" t="s">
        <v>390</v>
      </c>
      <c r="AV21" s="137"/>
      <c r="AW21" s="149">
        <v>49.27</v>
      </c>
      <c r="AX21" s="143">
        <v>553.2604222914453</v>
      </c>
    </row>
    <row r="22" spans="1:50" s="94" customFormat="1" ht="12.75">
      <c r="A22" s="86"/>
      <c r="B22" s="181"/>
      <c r="C22" s="218"/>
      <c r="D22" s="159"/>
      <c r="E22" s="160"/>
      <c r="G22" s="157"/>
      <c r="H22" s="158"/>
      <c r="I22" s="159"/>
      <c r="J22" s="160"/>
      <c r="Q22" s="157"/>
      <c r="R22" s="158"/>
      <c r="S22" s="159"/>
      <c r="T22" s="160"/>
      <c r="V22" s="157"/>
      <c r="W22" s="158"/>
      <c r="X22" s="159"/>
      <c r="Y22" s="160"/>
      <c r="AA22" s="157"/>
      <c r="AB22" s="158"/>
      <c r="AC22" s="159"/>
      <c r="AD22" s="169"/>
      <c r="AK22" s="157"/>
      <c r="AL22" s="158"/>
      <c r="AM22" s="159"/>
      <c r="AN22" s="160"/>
      <c r="AP22" s="157"/>
      <c r="AQ22" s="158"/>
      <c r="AR22" s="159"/>
      <c r="AS22" s="160"/>
      <c r="AU22" s="170" t="s">
        <v>391</v>
      </c>
      <c r="AV22" s="156"/>
      <c r="AW22" s="149">
        <v>49.27</v>
      </c>
      <c r="AX22" s="143">
        <v>698.7737900000501</v>
      </c>
    </row>
    <row r="23" spans="1:50" s="94" customFormat="1" ht="12.75">
      <c r="A23" s="86"/>
      <c r="AU23" s="170" t="s">
        <v>392</v>
      </c>
      <c r="AV23" s="156"/>
      <c r="AW23" s="149">
        <v>49.27</v>
      </c>
      <c r="AX23" s="143">
        <v>1382.8369777465828</v>
      </c>
    </row>
    <row r="24" spans="1:50" s="94" customFormat="1" ht="12.75">
      <c r="A24" s="86"/>
      <c r="AU24" s="170" t="s">
        <v>393</v>
      </c>
      <c r="AV24" s="156"/>
      <c r="AW24" s="149">
        <v>14.61</v>
      </c>
      <c r="AX24" s="143">
        <v>1775.3127082720712</v>
      </c>
    </row>
    <row r="25" spans="1:50" s="94" customFormat="1" ht="12.75">
      <c r="A25" s="86"/>
      <c r="AU25" s="170" t="s">
        <v>396</v>
      </c>
      <c r="AV25" s="156"/>
      <c r="AW25" s="140">
        <v>13.08</v>
      </c>
      <c r="AX25" s="141">
        <v>45318.28727556596</v>
      </c>
    </row>
    <row r="26" spans="1:50" s="94" customFormat="1" ht="12.75">
      <c r="A26" s="86"/>
      <c r="AU26" s="170" t="s">
        <v>399</v>
      </c>
      <c r="AV26" s="156"/>
      <c r="AW26" s="167">
        <v>2.48</v>
      </c>
      <c r="AX26" s="164">
        <v>22644</v>
      </c>
    </row>
    <row r="27" spans="1:50" s="94" customFormat="1" ht="12.75">
      <c r="A27" s="86"/>
      <c r="AU27" s="157"/>
      <c r="AV27" s="158"/>
      <c r="AW27" s="159"/>
      <c r="AX27" s="160"/>
    </row>
    <row r="28" spans="1:50" s="94" customFormat="1" ht="12.75">
      <c r="A28" s="86"/>
      <c r="B28" s="217" t="s">
        <v>451</v>
      </c>
      <c r="C28" s="182"/>
      <c r="D28" s="219">
        <f>SUMPRODUCT(D10:D26,E10:E26)</f>
        <v>859542.0900000001</v>
      </c>
      <c r="G28" s="217" t="s">
        <v>451</v>
      </c>
      <c r="H28" s="182"/>
      <c r="I28" s="219">
        <f>SUMPRODUCT(I10:I26,J10:J26)</f>
        <v>5286610.156500001</v>
      </c>
      <c r="L28" s="217" t="s">
        <v>451</v>
      </c>
      <c r="M28" s="182"/>
      <c r="N28" s="219">
        <f>SUMPRODUCT(N10:N26,O10:O26)</f>
        <v>49611008.24400001</v>
      </c>
      <c r="Q28" s="217" t="s">
        <v>451</v>
      </c>
      <c r="R28" s="182"/>
      <c r="S28" s="219">
        <f>SUMPRODUCT(S10:S26,T10:T26)</f>
        <v>1583199.3499999999</v>
      </c>
      <c r="V28" s="217" t="s">
        <v>451</v>
      </c>
      <c r="W28" s="182"/>
      <c r="X28" s="219">
        <f>SUMPRODUCT(X10:X26,Y10:Y26)</f>
        <v>89808288.25</v>
      </c>
      <c r="AA28" s="217" t="s">
        <v>451</v>
      </c>
      <c r="AB28" s="182"/>
      <c r="AC28" s="219">
        <f>SUMPRODUCT(AC10:AC26,AD10:AD26)</f>
        <v>2218215.769834686</v>
      </c>
      <c r="AF28" s="217" t="s">
        <v>451</v>
      </c>
      <c r="AG28" s="182"/>
      <c r="AH28" s="219">
        <f>SUMPRODUCT(AH10:AH26,AI10:AI26)</f>
        <v>62111763.34560215</v>
      </c>
      <c r="AK28" s="217" t="s">
        <v>451</v>
      </c>
      <c r="AL28" s="182"/>
      <c r="AM28" s="219">
        <f>SUMPRODUCT(AM10:AM26,AN10:AN26)</f>
        <v>340902.06</v>
      </c>
      <c r="AP28" s="217" t="s">
        <v>451</v>
      </c>
      <c r="AQ28" s="182"/>
      <c r="AR28" s="219">
        <f>SUMPRODUCT(AR10:AR26,AS10:AS26)</f>
        <v>880512.1140000001</v>
      </c>
      <c r="AU28" s="217" t="s">
        <v>451</v>
      </c>
      <c r="AV28" s="182"/>
      <c r="AW28" s="219">
        <f>SUMPRODUCT(AW10:AW26,AX10:AX26)</f>
        <v>1285025.654813006</v>
      </c>
      <c r="AX28" s="91"/>
    </row>
    <row r="29" spans="1:50" s="94" customFormat="1" ht="12.75">
      <c r="A29" s="86"/>
      <c r="AU29" s="92"/>
      <c r="AV29" s="92"/>
      <c r="AW29" s="201"/>
      <c r="AX29" s="91"/>
    </row>
    <row r="30" spans="1:12" s="199" customFormat="1" ht="12.75">
      <c r="A30" s="83" t="s">
        <v>462</v>
      </c>
      <c r="B30" s="83"/>
      <c r="C30" s="200"/>
      <c r="D30" s="200"/>
      <c r="E30" s="200"/>
      <c r="F30" s="200"/>
      <c r="G30" s="200"/>
      <c r="H30" s="200"/>
      <c r="I30" s="200"/>
      <c r="J30" s="200"/>
      <c r="K30" s="200"/>
      <c r="L30" s="200"/>
    </row>
    <row r="31" s="94" customFormat="1" ht="12.75">
      <c r="A31" s="89"/>
    </row>
    <row r="32" spans="1:5" s="94" customFormat="1" ht="12.75">
      <c r="A32" s="86"/>
      <c r="B32" s="172" t="s">
        <v>394</v>
      </c>
      <c r="C32" s="173" t="s">
        <v>395</v>
      </c>
      <c r="D32" s="173"/>
      <c r="E32" s="174"/>
    </row>
    <row r="33" spans="1:5" s="94" customFormat="1" ht="12.75">
      <c r="A33" s="86"/>
      <c r="B33" s="175" t="s">
        <v>397</v>
      </c>
      <c r="C33" s="176" t="s">
        <v>398</v>
      </c>
      <c r="D33" s="176"/>
      <c r="E33" s="177"/>
    </row>
    <row r="34" spans="1:5" s="94" customFormat="1" ht="12.75">
      <c r="A34" s="86"/>
      <c r="B34" s="178" t="s">
        <v>400</v>
      </c>
      <c r="C34" s="179" t="s">
        <v>401</v>
      </c>
      <c r="D34" s="179"/>
      <c r="E34" s="180"/>
    </row>
    <row r="35" s="94" customFormat="1" ht="12.75">
      <c r="A35" s="86"/>
    </row>
    <row r="36" spans="1:12" s="199" customFormat="1" ht="12.75">
      <c r="A36" s="83" t="s">
        <v>463</v>
      </c>
      <c r="B36" s="83"/>
      <c r="C36" s="200"/>
      <c r="D36" s="200"/>
      <c r="E36" s="200"/>
      <c r="F36" s="200"/>
      <c r="G36" s="200"/>
      <c r="H36" s="200"/>
      <c r="I36" s="200"/>
      <c r="J36" s="200"/>
      <c r="K36" s="200"/>
      <c r="L36" s="200"/>
    </row>
    <row r="37" s="94" customFormat="1" ht="12.75">
      <c r="A37" s="86"/>
    </row>
    <row r="38" spans="1:47" s="94" customFormat="1" ht="12.75">
      <c r="A38" s="86"/>
      <c r="B38" s="171" t="s">
        <v>286</v>
      </c>
      <c r="G38" s="171" t="s">
        <v>29</v>
      </c>
      <c r="L38" s="171" t="s">
        <v>287</v>
      </c>
      <c r="Q38" s="171" t="s">
        <v>288</v>
      </c>
      <c r="V38" s="171" t="s">
        <v>289</v>
      </c>
      <c r="AA38" s="171" t="s">
        <v>149</v>
      </c>
      <c r="AF38" s="171" t="s">
        <v>290</v>
      </c>
      <c r="AK38" s="171" t="s">
        <v>195</v>
      </c>
      <c r="AP38" s="171" t="s">
        <v>151</v>
      </c>
      <c r="AU38" s="171" t="s">
        <v>30</v>
      </c>
    </row>
    <row r="39" spans="1:50" s="94" customFormat="1" ht="12.75">
      <c r="A39" s="86"/>
      <c r="B39" s="181"/>
      <c r="C39" s="182"/>
      <c r="D39" s="183" t="s">
        <v>402</v>
      </c>
      <c r="E39" s="184" t="s">
        <v>403</v>
      </c>
      <c r="G39" s="181"/>
      <c r="H39" s="182"/>
      <c r="I39" s="183" t="s">
        <v>402</v>
      </c>
      <c r="J39" s="184" t="s">
        <v>403</v>
      </c>
      <c r="L39" s="181"/>
      <c r="M39" s="182"/>
      <c r="N39" s="183" t="s">
        <v>402</v>
      </c>
      <c r="O39" s="184" t="s">
        <v>403</v>
      </c>
      <c r="Q39" s="181"/>
      <c r="R39" s="182"/>
      <c r="S39" s="183" t="s">
        <v>402</v>
      </c>
      <c r="T39" s="184" t="s">
        <v>403</v>
      </c>
      <c r="V39" s="181"/>
      <c r="W39" s="182"/>
      <c r="X39" s="183" t="s">
        <v>402</v>
      </c>
      <c r="Y39" s="184" t="s">
        <v>403</v>
      </c>
      <c r="AA39" s="181"/>
      <c r="AB39" s="182"/>
      <c r="AC39" s="183" t="s">
        <v>402</v>
      </c>
      <c r="AD39" s="184" t="s">
        <v>403</v>
      </c>
      <c r="AF39" s="181"/>
      <c r="AG39" s="182"/>
      <c r="AH39" s="183" t="s">
        <v>402</v>
      </c>
      <c r="AI39" s="184" t="s">
        <v>403</v>
      </c>
      <c r="AK39" s="181"/>
      <c r="AL39" s="182"/>
      <c r="AM39" s="183" t="s">
        <v>402</v>
      </c>
      <c r="AN39" s="184" t="s">
        <v>403</v>
      </c>
      <c r="AP39" s="181"/>
      <c r="AQ39" s="182"/>
      <c r="AR39" s="183" t="s">
        <v>402</v>
      </c>
      <c r="AS39" s="184" t="s">
        <v>403</v>
      </c>
      <c r="AU39" s="181"/>
      <c r="AV39" s="182"/>
      <c r="AW39" s="183" t="s">
        <v>402</v>
      </c>
      <c r="AX39" s="184" t="s">
        <v>403</v>
      </c>
    </row>
    <row r="40" spans="1:50" s="94" customFormat="1" ht="12.75">
      <c r="A40" s="86"/>
      <c r="B40" s="175" t="s">
        <v>404</v>
      </c>
      <c r="C40" s="96"/>
      <c r="D40" s="185">
        <f>D21</f>
        <v>4.7</v>
      </c>
      <c r="E40" s="186">
        <f>E21</f>
        <v>21440</v>
      </c>
      <c r="G40" s="175" t="s">
        <v>404</v>
      </c>
      <c r="H40" s="96"/>
      <c r="I40" s="185">
        <f>I21</f>
        <v>2.28</v>
      </c>
      <c r="J40" s="186">
        <f>J21</f>
        <v>81115.33333333333</v>
      </c>
      <c r="L40" s="175" t="s">
        <v>404</v>
      </c>
      <c r="M40" s="96"/>
      <c r="N40" s="185">
        <f aca="true" t="shared" si="0" ref="N40:O43">N10</f>
        <v>7.68</v>
      </c>
      <c r="O40" s="186">
        <f t="shared" si="0"/>
        <v>726649</v>
      </c>
      <c r="Q40" s="175" t="s">
        <v>404</v>
      </c>
      <c r="R40" s="96"/>
      <c r="S40" s="185">
        <f>S21</f>
        <v>3.65</v>
      </c>
      <c r="T40" s="186">
        <f>T21</f>
        <v>14987</v>
      </c>
      <c r="V40" s="175" t="s">
        <v>404</v>
      </c>
      <c r="W40" s="96"/>
      <c r="X40" s="185">
        <f>X21</f>
        <v>3.65</v>
      </c>
      <c r="Y40" s="186">
        <f>Y21</f>
        <v>874277</v>
      </c>
      <c r="AA40" s="175" t="s">
        <v>404</v>
      </c>
      <c r="AB40" s="96"/>
      <c r="AC40" s="185">
        <f>AC21</f>
        <v>6.75</v>
      </c>
      <c r="AD40" s="186">
        <f>AD21</f>
        <v>40214.5</v>
      </c>
      <c r="AF40" s="175" t="s">
        <v>404</v>
      </c>
      <c r="AG40" s="96"/>
      <c r="AH40" s="185">
        <f>AH20</f>
        <v>8.4</v>
      </c>
      <c r="AI40" s="186">
        <f>AI20</f>
        <v>713241</v>
      </c>
      <c r="AK40" s="175" t="s">
        <v>404</v>
      </c>
      <c r="AL40" s="96"/>
      <c r="AM40" s="185">
        <f>AM21</f>
        <v>2.34</v>
      </c>
      <c r="AN40" s="186">
        <f>AN21</f>
        <v>8347</v>
      </c>
      <c r="AP40" s="175" t="s">
        <v>404</v>
      </c>
      <c r="AQ40" s="96"/>
      <c r="AR40" s="185">
        <f>AR21</f>
        <v>10.62</v>
      </c>
      <c r="AS40" s="186">
        <f>AS21</f>
        <v>17296</v>
      </c>
      <c r="AU40" s="175" t="s">
        <v>404</v>
      </c>
      <c r="AV40" s="96"/>
      <c r="AW40" s="185">
        <f>AW26</f>
        <v>2.48</v>
      </c>
      <c r="AX40" s="186">
        <f>AX26</f>
        <v>22644</v>
      </c>
    </row>
    <row r="41" spans="1:50" s="94" customFormat="1" ht="12.75">
      <c r="A41" s="86"/>
      <c r="B41" s="175" t="s">
        <v>405</v>
      </c>
      <c r="C41" s="96"/>
      <c r="D41" s="187">
        <f>D19</f>
        <v>13.46</v>
      </c>
      <c r="E41" s="188">
        <f>E19+E20</f>
        <v>49054</v>
      </c>
      <c r="G41" s="175" t="s">
        <v>405</v>
      </c>
      <c r="H41" s="96"/>
      <c r="I41" s="187">
        <f>I20</f>
        <v>21.96</v>
      </c>
      <c r="J41" s="188">
        <f>J19+J20</f>
        <v>187350.65083333338</v>
      </c>
      <c r="L41" s="175" t="s">
        <v>405</v>
      </c>
      <c r="M41" s="96"/>
      <c r="N41" s="187">
        <f t="shared" si="0"/>
        <v>20.04</v>
      </c>
      <c r="O41" s="188">
        <f t="shared" si="0"/>
        <v>1766883</v>
      </c>
      <c r="Q41" s="175" t="s">
        <v>405</v>
      </c>
      <c r="R41" s="96"/>
      <c r="S41" s="187">
        <f>S19</f>
        <v>30.2</v>
      </c>
      <c r="T41" s="188">
        <f>T19+T20</f>
        <v>44399</v>
      </c>
      <c r="V41" s="175" t="s">
        <v>405</v>
      </c>
      <c r="W41" s="96"/>
      <c r="X41" s="187">
        <f>X19</f>
        <v>30.2</v>
      </c>
      <c r="Y41" s="188">
        <f>Y19+Y20</f>
        <v>2357951</v>
      </c>
      <c r="AA41" s="175" t="s">
        <v>405</v>
      </c>
      <c r="AB41" s="96"/>
      <c r="AC41" s="187">
        <f>AC19</f>
        <v>14.3</v>
      </c>
      <c r="AD41" s="188">
        <f>AD19+AD20</f>
        <v>95165.14675916571</v>
      </c>
      <c r="AF41" s="175" t="s">
        <v>405</v>
      </c>
      <c r="AG41" s="96"/>
      <c r="AH41" s="187">
        <f>AH10</f>
        <v>16.32</v>
      </c>
      <c r="AI41" s="188">
        <f>AI10</f>
        <v>2635276.1929240916</v>
      </c>
      <c r="AK41" s="175" t="s">
        <v>405</v>
      </c>
      <c r="AL41" s="96"/>
      <c r="AM41" s="187">
        <f>AM19</f>
        <v>7.68</v>
      </c>
      <c r="AN41" s="188">
        <f>AN19+AN20</f>
        <v>35091</v>
      </c>
      <c r="AP41" s="175" t="s">
        <v>405</v>
      </c>
      <c r="AQ41" s="96"/>
      <c r="AR41" s="187">
        <f>AR19</f>
        <v>21.42</v>
      </c>
      <c r="AS41" s="188">
        <f>AS19+AS20</f>
        <v>29252.6</v>
      </c>
      <c r="AU41" s="175" t="s">
        <v>405</v>
      </c>
      <c r="AV41" s="96"/>
      <c r="AW41" s="187">
        <f>AW25</f>
        <v>13.08</v>
      </c>
      <c r="AX41" s="188">
        <f>AX25</f>
        <v>45318.28727556596</v>
      </c>
    </row>
    <row r="42" spans="1:50" s="94" customFormat="1" ht="12.75">
      <c r="A42" s="86"/>
      <c r="B42" s="175" t="s">
        <v>406</v>
      </c>
      <c r="C42" s="96"/>
      <c r="D42" s="189">
        <f>D17</f>
        <v>13.46</v>
      </c>
      <c r="E42" s="190">
        <f>E17+E18</f>
        <v>1570</v>
      </c>
      <c r="G42" s="175" t="s">
        <v>406</v>
      </c>
      <c r="H42" s="96"/>
      <c r="I42" s="189">
        <f>I17</f>
        <v>36.24</v>
      </c>
      <c r="J42" s="190">
        <f>J17+J18</f>
        <v>7671.725833333333</v>
      </c>
      <c r="L42" s="175" t="s">
        <v>406</v>
      </c>
      <c r="M42" s="96"/>
      <c r="N42" s="189">
        <f t="shared" si="0"/>
        <v>40.8</v>
      </c>
      <c r="O42" s="190">
        <f t="shared" si="0"/>
        <v>65707</v>
      </c>
      <c r="Q42" s="175" t="s">
        <v>406</v>
      </c>
      <c r="R42" s="96"/>
      <c r="S42" s="189">
        <f>S17</f>
        <v>34.5</v>
      </c>
      <c r="T42" s="190">
        <f>T17+T18</f>
        <v>1580</v>
      </c>
      <c r="V42" s="175" t="s">
        <v>406</v>
      </c>
      <c r="W42" s="96"/>
      <c r="X42" s="189">
        <f>X17</f>
        <v>34.5</v>
      </c>
      <c r="Y42" s="190">
        <f>Y17+Y18</f>
        <v>63442</v>
      </c>
      <c r="AA42" s="175" t="s">
        <v>406</v>
      </c>
      <c r="AB42" s="96"/>
      <c r="AC42" s="189">
        <f>AC17</f>
        <v>14.3</v>
      </c>
      <c r="AD42" s="190">
        <f>AD17+AD18</f>
        <v>2922.9804776196197</v>
      </c>
      <c r="AF42" s="175" t="s">
        <v>406</v>
      </c>
      <c r="AG42" s="96"/>
      <c r="AH42" s="189">
        <f>(AH11*AI11+AH12*AI12)/(AI11+AI12)</f>
        <v>26.756331726434198</v>
      </c>
      <c r="AI42" s="190">
        <f>AI11+AI12</f>
        <v>111620.48324174319</v>
      </c>
      <c r="AK42" s="175" t="s">
        <v>406</v>
      </c>
      <c r="AL42" s="96"/>
      <c r="AM42" s="189">
        <f>AM17</f>
        <v>7.68</v>
      </c>
      <c r="AN42" s="190">
        <f>AN17+AN18</f>
        <v>1870</v>
      </c>
      <c r="AP42" s="175" t="s">
        <v>406</v>
      </c>
      <c r="AQ42" s="96"/>
      <c r="AR42" s="189">
        <f>AR17</f>
        <v>34.74</v>
      </c>
      <c r="AS42" s="190">
        <f>AS17</f>
        <v>1084.5</v>
      </c>
      <c r="AU42" s="175" t="s">
        <v>406</v>
      </c>
      <c r="AV42" s="96"/>
      <c r="AW42" s="189">
        <f>SUMPRODUCT(AW21:AW24,AX21:AX24)/SUM(AX21:AX24)</f>
        <v>35.317670598886515</v>
      </c>
      <c r="AX42" s="190">
        <f>SUM(AX21:AX24)</f>
        <v>4410.18389831015</v>
      </c>
    </row>
    <row r="43" spans="1:50" s="94" customFormat="1" ht="12.75">
      <c r="A43" s="86"/>
      <c r="B43" s="175" t="s">
        <v>394</v>
      </c>
      <c r="C43" s="96"/>
      <c r="D43" s="191">
        <f>(D16*E16+D15*E15)/(E15+E16)</f>
        <v>132.93370967741936</v>
      </c>
      <c r="E43" s="192">
        <f>E16+E15</f>
        <v>496</v>
      </c>
      <c r="G43" s="175" t="s">
        <v>394</v>
      </c>
      <c r="H43" s="96"/>
      <c r="I43" s="191">
        <f>(I15*J15+I16*J16)/(J15+J16)</f>
        <v>120.43033250620347</v>
      </c>
      <c r="J43" s="192">
        <f>J15+J16</f>
        <v>1679.1666666666667</v>
      </c>
      <c r="L43" s="175" t="s">
        <v>394</v>
      </c>
      <c r="M43" s="96"/>
      <c r="N43" s="191">
        <f t="shared" si="0"/>
        <v>57.96</v>
      </c>
      <c r="O43" s="192">
        <f t="shared" si="0"/>
        <v>10856.7</v>
      </c>
      <c r="Q43" s="175" t="s">
        <v>394</v>
      </c>
      <c r="R43" s="96"/>
      <c r="S43" s="191">
        <f>S15</f>
        <v>164</v>
      </c>
      <c r="T43" s="192">
        <f>T15</f>
        <v>285</v>
      </c>
      <c r="V43" s="175" t="s">
        <v>394</v>
      </c>
      <c r="W43" s="96"/>
      <c r="X43" s="191">
        <f>(X16*Y16+X15*Y15)/(Y15+Y16)</f>
        <v>164</v>
      </c>
      <c r="Y43" s="192">
        <f>Y16+Y15</f>
        <v>31578</v>
      </c>
      <c r="AA43" s="175" t="s">
        <v>394</v>
      </c>
      <c r="AB43" s="96"/>
      <c r="AC43" s="191">
        <f>AC15</f>
        <v>220</v>
      </c>
      <c r="AD43" s="192">
        <f>AD15</f>
        <v>739.7711606757068</v>
      </c>
      <c r="AF43" s="175" t="s">
        <v>394</v>
      </c>
      <c r="AG43" s="96"/>
      <c r="AH43" s="191">
        <f>(AH13*AI13+AH14*AI14)/(AI13+AI14)</f>
        <v>113.65275767407039</v>
      </c>
      <c r="AI43" s="192">
        <f>AI13+AI14</f>
        <v>12021</v>
      </c>
      <c r="AK43" s="175" t="s">
        <v>394</v>
      </c>
      <c r="AL43" s="96"/>
      <c r="AM43" s="191">
        <f>(AM15*AN15+AM16*AN16)/(AN15+AN16)</f>
        <v>32.396091205211725</v>
      </c>
      <c r="AN43" s="192">
        <f>AN15+AN16</f>
        <v>307</v>
      </c>
      <c r="AP43" s="175" t="s">
        <v>394</v>
      </c>
      <c r="AQ43" s="96"/>
      <c r="AR43" s="191">
        <f>(AR15*AS15+AR16*AS16)/(AS15+AS16)</f>
        <v>105.12852763585693</v>
      </c>
      <c r="AS43" s="192">
        <f>AS15+AS16</f>
        <v>215.3</v>
      </c>
      <c r="AU43" s="175" t="s">
        <v>394</v>
      </c>
      <c r="AV43" s="96"/>
      <c r="AW43" s="191">
        <f>SUMPRODUCT(AW15:AW20,AX15:AX20)/SUM(AX15:AX20)</f>
        <v>133.21842506104494</v>
      </c>
      <c r="AX43" s="192">
        <f>SUM(AX15:AX20)</f>
        <v>1042.4709068437282</v>
      </c>
    </row>
    <row r="44" spans="1:50" s="94" customFormat="1" ht="12.75">
      <c r="A44" s="86"/>
      <c r="B44" s="175" t="s">
        <v>397</v>
      </c>
      <c r="C44" s="96"/>
      <c r="D44" s="193">
        <f>D14</f>
        <v>369.03</v>
      </c>
      <c r="E44" s="194">
        <f>E14</f>
        <v>31</v>
      </c>
      <c r="G44" s="175" t="s">
        <v>397</v>
      </c>
      <c r="H44" s="96"/>
      <c r="I44" s="193">
        <f>I14</f>
        <v>1046.64</v>
      </c>
      <c r="J44" s="194">
        <f>J14</f>
        <v>315.25</v>
      </c>
      <c r="L44" s="175" t="s">
        <v>397</v>
      </c>
      <c r="M44" s="96"/>
      <c r="N44" s="193">
        <f>(N14*O14+N15*O15)/(O14+O15)</f>
        <v>565.2422399263418</v>
      </c>
      <c r="O44" s="194">
        <f>O14+O15</f>
        <v>7819.9</v>
      </c>
      <c r="Q44" s="175" t="s">
        <v>397</v>
      </c>
      <c r="R44" s="96"/>
      <c r="S44" s="193">
        <f>S14</f>
        <v>651</v>
      </c>
      <c r="T44" s="194">
        <f>T14</f>
        <v>73</v>
      </c>
      <c r="V44" s="175" t="s">
        <v>397</v>
      </c>
      <c r="W44" s="96"/>
      <c r="X44" s="193">
        <f>X14</f>
        <v>651</v>
      </c>
      <c r="Y44" s="194">
        <f>Y14</f>
        <v>8566</v>
      </c>
      <c r="AA44" s="175" t="s">
        <v>397</v>
      </c>
      <c r="AB44" s="96"/>
      <c r="AC44" s="193">
        <f>AC14</f>
        <v>632.34</v>
      </c>
      <c r="AD44" s="194">
        <f>AD14</f>
        <v>588</v>
      </c>
      <c r="AF44" s="175" t="s">
        <v>397</v>
      </c>
      <c r="AG44" s="96"/>
      <c r="AH44" s="193">
        <f>SUMPRODUCT(AH15:AH17,AI15:AI17)/SUM(AI15:AI17)</f>
        <v>637.6304789304451</v>
      </c>
      <c r="AI44" s="194">
        <f>SUM(AI15:AI17)</f>
        <v>11818</v>
      </c>
      <c r="AK44" s="175" t="s">
        <v>397</v>
      </c>
      <c r="AL44" s="96"/>
      <c r="AM44" s="193">
        <f>AM14</f>
        <v>999</v>
      </c>
      <c r="AN44" s="194">
        <f>AN14</f>
        <v>23</v>
      </c>
      <c r="AP44" s="175" t="s">
        <v>397</v>
      </c>
      <c r="AQ44" s="96"/>
      <c r="AR44" s="193">
        <f>(AR13*AS13+AR14*AS14)/(AS13+AS14)</f>
        <v>496.41</v>
      </c>
      <c r="AS44" s="194">
        <f>AS13+AS14</f>
        <v>20</v>
      </c>
      <c r="AU44" s="175" t="s">
        <v>397</v>
      </c>
      <c r="AV44" s="96"/>
      <c r="AW44" s="193">
        <f>SUMPRODUCT(AW11:AW14,AX11:AX14)/SUM(AX11:AX14)</f>
        <v>756.4610319251682</v>
      </c>
      <c r="AX44" s="194">
        <f>SUM(AX11:AX14)</f>
        <v>340.68443398765623</v>
      </c>
    </row>
    <row r="45" spans="1:50" s="94" customFormat="1" ht="12.75">
      <c r="A45" s="86"/>
      <c r="B45" s="178" t="s">
        <v>400</v>
      </c>
      <c r="C45" s="195"/>
      <c r="D45" s="196"/>
      <c r="E45" s="197"/>
      <c r="G45" s="178" t="s">
        <v>400</v>
      </c>
      <c r="H45" s="195"/>
      <c r="I45" s="196">
        <f>I12</f>
        <v>6973.68</v>
      </c>
      <c r="J45" s="197">
        <f>J12</f>
        <v>25.4166666666667</v>
      </c>
      <c r="L45" s="178" t="s">
        <v>400</v>
      </c>
      <c r="M45" s="195"/>
      <c r="N45" s="196">
        <f>N16</f>
        <v>6966.96</v>
      </c>
      <c r="O45" s="197">
        <f>O16</f>
        <v>128</v>
      </c>
      <c r="Q45" s="178" t="s">
        <v>400</v>
      </c>
      <c r="R45" s="195"/>
      <c r="S45" s="196">
        <f>S12</f>
        <v>2046</v>
      </c>
      <c r="T45" s="197">
        <f>T12</f>
        <v>19</v>
      </c>
      <c r="V45" s="178" t="s">
        <v>400</v>
      </c>
      <c r="W45" s="195"/>
      <c r="X45" s="196">
        <f>(X12*Y12+X13*Y13)/(Y12+Y13)</f>
        <v>1959.466984884646</v>
      </c>
      <c r="Y45" s="197">
        <f>Y12+Y13</f>
        <v>1257</v>
      </c>
      <c r="AA45" s="178" t="s">
        <v>400</v>
      </c>
      <c r="AB45" s="195"/>
      <c r="AC45" s="196">
        <f>AC13</f>
        <v>1908.42</v>
      </c>
      <c r="AD45" s="197">
        <f>AD13</f>
        <v>5</v>
      </c>
      <c r="AF45" s="178" t="s">
        <v>400</v>
      </c>
      <c r="AG45" s="195"/>
      <c r="AH45" s="196">
        <f>(AH18*AI18+AH19*AI19)/(AI18+AI19)</f>
        <v>7421.454545454545</v>
      </c>
      <c r="AI45" s="197">
        <f>AI18+AI19</f>
        <v>165</v>
      </c>
      <c r="AK45" s="178" t="s">
        <v>400</v>
      </c>
      <c r="AL45" s="195"/>
      <c r="AM45" s="196">
        <f>(AM11*AN11+AM12*AN12)/(AN11+AN12)</f>
        <v>2293.5</v>
      </c>
      <c r="AN45" s="197">
        <f>AN11+AN12</f>
        <v>2</v>
      </c>
      <c r="AP45" s="178" t="s">
        <v>400</v>
      </c>
      <c r="AQ45" s="195"/>
      <c r="AR45" s="196"/>
      <c r="AS45" s="197"/>
      <c r="AU45" s="178" t="s">
        <v>400</v>
      </c>
      <c r="AV45" s="195"/>
      <c r="AW45" s="196">
        <f>AW10</f>
        <v>4968.37</v>
      </c>
      <c r="AX45" s="197">
        <f>AX10</f>
        <v>16.858060927577267</v>
      </c>
    </row>
    <row r="46" spans="2:50" s="86" customFormat="1" ht="12.75">
      <c r="B46" s="223" t="s">
        <v>451</v>
      </c>
      <c r="C46" s="220"/>
      <c r="D46" s="222">
        <f>SUMPRODUCT(D40:D45,E40:E45)</f>
        <v>859542.0900000001</v>
      </c>
      <c r="E46" s="221"/>
      <c r="G46" s="223" t="s">
        <v>451</v>
      </c>
      <c r="H46" s="220"/>
      <c r="I46" s="222">
        <f>SUMPRODUCT(I40:I45,J40:J45)</f>
        <v>5286610.156500001</v>
      </c>
      <c r="J46" s="221"/>
      <c r="L46" s="223" t="s">
        <v>451</v>
      </c>
      <c r="M46" s="220"/>
      <c r="N46" s="222">
        <f>SUMPRODUCT(N40:N45,O40:O45)</f>
        <v>49611008.24400001</v>
      </c>
      <c r="O46" s="221"/>
      <c r="Q46" s="223" t="s">
        <v>451</v>
      </c>
      <c r="R46" s="220"/>
      <c r="S46" s="222">
        <f>SUMPRODUCT(S40:S45,T40:T45)</f>
        <v>1583199.35</v>
      </c>
      <c r="T46" s="221"/>
      <c r="V46" s="223" t="s">
        <v>451</v>
      </c>
      <c r="W46" s="220"/>
      <c r="X46" s="222">
        <f>SUMPRODUCT(X40:X45,Y40:Y45)</f>
        <v>89808288.25</v>
      </c>
      <c r="Y46" s="221"/>
      <c r="AA46" s="223" t="s">
        <v>451</v>
      </c>
      <c r="AB46" s="220"/>
      <c r="AC46" s="222">
        <f>SUMPRODUCT(AC40:AC45,AD40:AD45)</f>
        <v>2218215.769834686</v>
      </c>
      <c r="AD46" s="221"/>
      <c r="AF46" s="223" t="s">
        <v>451</v>
      </c>
      <c r="AG46" s="220"/>
      <c r="AH46" s="222">
        <f>SUMPRODUCT(AH40:AH45,AI40:AI45)</f>
        <v>62111763.34560214</v>
      </c>
      <c r="AI46" s="221"/>
      <c r="AK46" s="223" t="s">
        <v>451</v>
      </c>
      <c r="AL46" s="220"/>
      <c r="AM46" s="222">
        <f>SUMPRODUCT(AM40:AM45,AN40:AN45)</f>
        <v>340902.05999999994</v>
      </c>
      <c r="AN46" s="221"/>
      <c r="AP46" s="223" t="s">
        <v>451</v>
      </c>
      <c r="AQ46" s="220"/>
      <c r="AR46" s="222">
        <f>SUMPRODUCT(AR40:AR45,AS40:AS45)</f>
        <v>880512.1140000001</v>
      </c>
      <c r="AS46" s="221"/>
      <c r="AU46" s="223" t="s">
        <v>451</v>
      </c>
      <c r="AV46" s="220"/>
      <c r="AW46" s="222">
        <f>SUMPRODUCT(AW40:AW45,AX40:AX45)</f>
        <v>1285025.654813006</v>
      </c>
      <c r="AX46" s="221"/>
    </row>
    <row r="47" ht="12.75">
      <c r="A47" s="120"/>
    </row>
    <row r="48" spans="1:12" s="199" customFormat="1" ht="12.75">
      <c r="A48" s="199" t="s">
        <v>97</v>
      </c>
      <c r="B48" s="83"/>
      <c r="C48" s="200"/>
      <c r="D48" s="200"/>
      <c r="E48" s="200"/>
      <c r="F48" s="200"/>
      <c r="G48" s="200"/>
      <c r="H48" s="200"/>
      <c r="I48" s="200"/>
      <c r="J48" s="200"/>
      <c r="K48" s="200"/>
      <c r="L48" s="200"/>
    </row>
    <row r="49" spans="2:6" ht="12.75">
      <c r="B49" s="120"/>
      <c r="C49" s="120"/>
      <c r="D49" s="120"/>
      <c r="E49" s="120"/>
      <c r="F49" s="120"/>
    </row>
    <row r="50" spans="2:47" s="94" customFormat="1" ht="15.75">
      <c r="B50" s="281" t="s">
        <v>146</v>
      </c>
      <c r="C50" s="86"/>
      <c r="D50" s="86"/>
      <c r="E50" s="86"/>
      <c r="F50" s="86"/>
      <c r="G50" s="122" t="s">
        <v>29</v>
      </c>
      <c r="L50" s="122" t="s">
        <v>147</v>
      </c>
      <c r="Q50" s="122" t="s">
        <v>288</v>
      </c>
      <c r="V50" s="122" t="s">
        <v>148</v>
      </c>
      <c r="AA50" s="122" t="s">
        <v>149</v>
      </c>
      <c r="AF50" s="281" t="s">
        <v>150</v>
      </c>
      <c r="AK50" s="122" t="s">
        <v>195</v>
      </c>
      <c r="AP50" s="122" t="s">
        <v>151</v>
      </c>
      <c r="AU50" s="123" t="s">
        <v>30</v>
      </c>
    </row>
    <row r="51" spans="2:50" s="94" customFormat="1" ht="12.75">
      <c r="B51" s="124" t="s">
        <v>252</v>
      </c>
      <c r="C51" s="125"/>
      <c r="D51" s="124" t="s">
        <v>402</v>
      </c>
      <c r="E51" s="312" t="s">
        <v>403</v>
      </c>
      <c r="G51" s="124" t="s">
        <v>252</v>
      </c>
      <c r="H51" s="125"/>
      <c r="I51" s="183" t="s">
        <v>402</v>
      </c>
      <c r="J51" s="270" t="s">
        <v>403</v>
      </c>
      <c r="L51" s="124" t="s">
        <v>252</v>
      </c>
      <c r="M51" s="125"/>
      <c r="N51" s="183" t="s">
        <v>402</v>
      </c>
      <c r="O51" s="293" t="s">
        <v>403</v>
      </c>
      <c r="Q51" s="124"/>
      <c r="R51" s="125"/>
      <c r="S51" s="269"/>
      <c r="T51" s="270"/>
      <c r="V51" s="124" t="s">
        <v>252</v>
      </c>
      <c r="W51" s="125"/>
      <c r="X51" s="183" t="s">
        <v>402</v>
      </c>
      <c r="Y51" s="184" t="s">
        <v>403</v>
      </c>
      <c r="AA51" s="124" t="s">
        <v>252</v>
      </c>
      <c r="AB51" s="125"/>
      <c r="AC51" s="183" t="s">
        <v>402</v>
      </c>
      <c r="AD51" s="293" t="s">
        <v>403</v>
      </c>
      <c r="AF51" s="124" t="s">
        <v>252</v>
      </c>
      <c r="AG51" s="125"/>
      <c r="AH51" s="183" t="s">
        <v>402</v>
      </c>
      <c r="AI51" s="293" t="s">
        <v>403</v>
      </c>
      <c r="AK51" s="124"/>
      <c r="AL51" s="125"/>
      <c r="AM51" s="269"/>
      <c r="AN51" s="270"/>
      <c r="AP51" s="124" t="s">
        <v>252</v>
      </c>
      <c r="AQ51" s="125"/>
      <c r="AR51" s="183" t="s">
        <v>402</v>
      </c>
      <c r="AS51" s="184" t="s">
        <v>403</v>
      </c>
      <c r="AU51" s="124" t="s">
        <v>252</v>
      </c>
      <c r="AV51" s="125"/>
      <c r="AW51" s="183" t="s">
        <v>402</v>
      </c>
      <c r="AX51" s="293" t="s">
        <v>403</v>
      </c>
    </row>
    <row r="52" spans="2:50" s="94" customFormat="1" ht="12.75">
      <c r="B52" s="126" t="s">
        <v>291</v>
      </c>
      <c r="C52" s="127"/>
      <c r="D52" s="284">
        <v>0</v>
      </c>
      <c r="E52" s="576">
        <f>E204</f>
        <v>1</v>
      </c>
      <c r="G52" s="126" t="s">
        <v>292</v>
      </c>
      <c r="H52" s="127"/>
      <c r="I52" s="128"/>
      <c r="J52" s="128"/>
      <c r="L52" s="126" t="s">
        <v>293</v>
      </c>
      <c r="M52" s="127"/>
      <c r="N52" s="313">
        <v>6.24</v>
      </c>
      <c r="O52" s="313">
        <f>O204</f>
        <v>1</v>
      </c>
      <c r="Q52" s="170"/>
      <c r="R52" s="242"/>
      <c r="S52" s="211"/>
      <c r="T52" s="212"/>
      <c r="V52" s="126" t="s">
        <v>294</v>
      </c>
      <c r="W52" s="127"/>
      <c r="X52" s="128"/>
      <c r="Y52" s="128"/>
      <c r="AA52" s="126" t="s">
        <v>291</v>
      </c>
      <c r="AB52" s="127"/>
      <c r="AC52" s="284">
        <v>0</v>
      </c>
      <c r="AD52" s="284">
        <f>AD204</f>
        <v>1</v>
      </c>
      <c r="AF52" s="132" t="s">
        <v>295</v>
      </c>
      <c r="AG52" s="127"/>
      <c r="AH52" s="314">
        <v>15.96</v>
      </c>
      <c r="AI52" s="314">
        <f>AI204</f>
        <v>1</v>
      </c>
      <c r="AK52" s="170"/>
      <c r="AL52" s="242"/>
      <c r="AM52" s="211"/>
      <c r="AN52" s="212"/>
      <c r="AP52" s="126" t="s">
        <v>291</v>
      </c>
      <c r="AQ52" s="127"/>
      <c r="AR52" s="128">
        <v>0</v>
      </c>
      <c r="AS52" s="128"/>
      <c r="AU52" s="126" t="s">
        <v>407</v>
      </c>
      <c r="AV52" s="127"/>
      <c r="AW52" s="315">
        <v>5073.28</v>
      </c>
      <c r="AX52" s="315">
        <f>AX204</f>
        <v>1</v>
      </c>
    </row>
    <row r="53" spans="2:50" s="94" customFormat="1" ht="12.75">
      <c r="B53" s="126" t="s">
        <v>237</v>
      </c>
      <c r="C53" s="137"/>
      <c r="D53" s="285">
        <v>0</v>
      </c>
      <c r="E53" s="301">
        <f aca="true" t="shared" si="1" ref="E53:E63">E205</f>
        <v>1</v>
      </c>
      <c r="G53" s="126" t="s">
        <v>237</v>
      </c>
      <c r="H53" s="137"/>
      <c r="I53" s="138">
        <v>0</v>
      </c>
      <c r="J53" s="138">
        <f>J204</f>
        <v>1</v>
      </c>
      <c r="L53" s="126" t="s">
        <v>298</v>
      </c>
      <c r="M53" s="137"/>
      <c r="N53" s="289">
        <v>16.56</v>
      </c>
      <c r="O53" s="289">
        <f>O205</f>
        <v>1</v>
      </c>
      <c r="Q53" s="170"/>
      <c r="R53" s="156"/>
      <c r="S53" s="213"/>
      <c r="T53" s="214"/>
      <c r="V53" s="126" t="s">
        <v>299</v>
      </c>
      <c r="W53" s="137"/>
      <c r="X53" s="138">
        <v>0</v>
      </c>
      <c r="Y53" s="138">
        <v>0</v>
      </c>
      <c r="AA53" s="126" t="s">
        <v>237</v>
      </c>
      <c r="AB53" s="137"/>
      <c r="AC53" s="285">
        <v>0</v>
      </c>
      <c r="AD53" s="285">
        <f aca="true" t="shared" si="2" ref="AD53:AD63">AD205</f>
        <v>1</v>
      </c>
      <c r="AF53" s="126" t="s">
        <v>300</v>
      </c>
      <c r="AG53" s="137"/>
      <c r="AH53" s="303">
        <v>24.6</v>
      </c>
      <c r="AI53" s="303">
        <f>AI205</f>
        <v>1</v>
      </c>
      <c r="AK53" s="170"/>
      <c r="AL53" s="156"/>
      <c r="AM53" s="213"/>
      <c r="AN53" s="214"/>
      <c r="AP53" s="126" t="s">
        <v>237</v>
      </c>
      <c r="AQ53" s="137"/>
      <c r="AR53" s="138">
        <v>0</v>
      </c>
      <c r="AS53" s="138">
        <v>0</v>
      </c>
      <c r="AU53" s="126" t="s">
        <v>408</v>
      </c>
      <c r="AV53" s="137"/>
      <c r="AW53" s="286">
        <v>1666.93</v>
      </c>
      <c r="AX53" s="286">
        <f aca="true" t="shared" si="3" ref="AX53:AX68">AX205</f>
        <v>1</v>
      </c>
    </row>
    <row r="54" spans="2:50" s="94" customFormat="1" ht="12.75">
      <c r="B54" s="126" t="s">
        <v>303</v>
      </c>
      <c r="C54" s="137"/>
      <c r="D54" s="285">
        <v>0</v>
      </c>
      <c r="E54" s="301">
        <f t="shared" si="1"/>
        <v>1</v>
      </c>
      <c r="G54" s="126" t="s">
        <v>304</v>
      </c>
      <c r="H54" s="137"/>
      <c r="I54" s="148">
        <v>6097.2</v>
      </c>
      <c r="J54" s="148">
        <f>J206</f>
        <v>1</v>
      </c>
      <c r="L54" s="126" t="s">
        <v>305</v>
      </c>
      <c r="M54" s="137"/>
      <c r="N54" s="288">
        <v>32.88</v>
      </c>
      <c r="O54" s="288">
        <f>O206+O207</f>
        <v>2</v>
      </c>
      <c r="Q54" s="170"/>
      <c r="R54" s="156"/>
      <c r="S54" s="213"/>
      <c r="T54" s="214"/>
      <c r="V54" s="126" t="s">
        <v>307</v>
      </c>
      <c r="W54" s="137"/>
      <c r="X54" s="144">
        <v>1763</v>
      </c>
      <c r="Y54" s="144">
        <f>Y204</f>
        <v>1</v>
      </c>
      <c r="AA54" s="126" t="s">
        <v>303</v>
      </c>
      <c r="AB54" s="137"/>
      <c r="AC54" s="298">
        <v>5167.12</v>
      </c>
      <c r="AD54" s="298">
        <f t="shared" si="2"/>
        <v>1</v>
      </c>
      <c r="AF54" s="126" t="s">
        <v>308</v>
      </c>
      <c r="AG54" s="137"/>
      <c r="AH54" s="303">
        <v>29.88</v>
      </c>
      <c r="AI54" s="303">
        <f>AI206</f>
        <v>1</v>
      </c>
      <c r="AK54" s="170"/>
      <c r="AL54" s="156"/>
      <c r="AM54" s="213"/>
      <c r="AN54" s="214"/>
      <c r="AP54" s="126" t="s">
        <v>303</v>
      </c>
      <c r="AQ54" s="137"/>
      <c r="AR54" s="138">
        <v>0</v>
      </c>
      <c r="AS54" s="138">
        <v>0</v>
      </c>
      <c r="AU54" s="126" t="s">
        <v>310</v>
      </c>
      <c r="AV54" s="137"/>
      <c r="AW54" s="286">
        <v>645.02</v>
      </c>
      <c r="AX54" s="286">
        <f t="shared" si="3"/>
        <v>1</v>
      </c>
    </row>
    <row r="55" spans="2:50" s="94" customFormat="1" ht="12.75">
      <c r="B55" s="126" t="s">
        <v>311</v>
      </c>
      <c r="C55" s="137"/>
      <c r="D55" s="285">
        <v>0</v>
      </c>
      <c r="E55" s="301">
        <f t="shared" si="1"/>
        <v>1</v>
      </c>
      <c r="G55" s="126" t="s">
        <v>311</v>
      </c>
      <c r="H55" s="137"/>
      <c r="I55" s="150">
        <v>0</v>
      </c>
      <c r="J55" s="150"/>
      <c r="L55" s="126" t="s">
        <v>312</v>
      </c>
      <c r="M55" s="137"/>
      <c r="N55" s="287">
        <v>46.8</v>
      </c>
      <c r="O55" s="287">
        <f>O208</f>
        <v>1</v>
      </c>
      <c r="Q55" s="170"/>
      <c r="R55" s="156"/>
      <c r="S55" s="213"/>
      <c r="T55" s="214"/>
      <c r="V55" s="126" t="s">
        <v>313</v>
      </c>
      <c r="W55" s="137"/>
      <c r="X55" s="144">
        <v>1519</v>
      </c>
      <c r="Y55" s="144">
        <f>Y205</f>
        <v>1</v>
      </c>
      <c r="AA55" s="126" t="s">
        <v>314</v>
      </c>
      <c r="AB55" s="137"/>
      <c r="AC55" s="298">
        <v>1788.65</v>
      </c>
      <c r="AD55" s="298">
        <f t="shared" si="2"/>
        <v>1</v>
      </c>
      <c r="AF55" s="126" t="s">
        <v>315</v>
      </c>
      <c r="AG55" s="137"/>
      <c r="AH55" s="304">
        <v>106.92</v>
      </c>
      <c r="AI55" s="304">
        <f>AI208+AI207</f>
        <v>2</v>
      </c>
      <c r="AK55" s="170"/>
      <c r="AL55" s="156"/>
      <c r="AM55" s="213"/>
      <c r="AN55" s="214"/>
      <c r="AP55" s="126" t="s">
        <v>316</v>
      </c>
      <c r="AQ55" s="137"/>
      <c r="AR55" s="146">
        <v>1342.5</v>
      </c>
      <c r="AS55" s="146">
        <f>AS204</f>
        <v>1</v>
      </c>
      <c r="AU55" s="126" t="s">
        <v>317</v>
      </c>
      <c r="AV55" s="137"/>
      <c r="AW55" s="286">
        <v>553.71</v>
      </c>
      <c r="AX55" s="286">
        <f t="shared" si="3"/>
        <v>1</v>
      </c>
    </row>
    <row r="56" spans="2:50" s="94" customFormat="1" ht="12.75">
      <c r="B56" s="126" t="s">
        <v>318</v>
      </c>
      <c r="C56" s="137"/>
      <c r="D56" s="286">
        <v>404.55</v>
      </c>
      <c r="E56" s="237">
        <f t="shared" si="1"/>
        <v>1</v>
      </c>
      <c r="G56" s="126" t="s">
        <v>319</v>
      </c>
      <c r="H56" s="137"/>
      <c r="I56" s="154">
        <v>915.36</v>
      </c>
      <c r="J56" s="154">
        <f aca="true" t="shared" si="4" ref="J56:J62">J208</f>
        <v>1</v>
      </c>
      <c r="L56" s="126" t="s">
        <v>320</v>
      </c>
      <c r="M56" s="137"/>
      <c r="N56" s="286">
        <v>423.96</v>
      </c>
      <c r="O56" s="286">
        <f>O209</f>
        <v>1</v>
      </c>
      <c r="Q56" s="170"/>
      <c r="R56" s="156"/>
      <c r="S56" s="213"/>
      <c r="T56" s="214"/>
      <c r="V56" s="126" t="s">
        <v>322</v>
      </c>
      <c r="W56" s="137"/>
      <c r="X56" s="146">
        <v>569</v>
      </c>
      <c r="Y56" s="146">
        <f>Y206+Y207</f>
        <v>2</v>
      </c>
      <c r="AA56" s="126" t="s">
        <v>409</v>
      </c>
      <c r="AB56" s="137"/>
      <c r="AC56" s="286">
        <v>581.83</v>
      </c>
      <c r="AD56" s="286">
        <f t="shared" si="2"/>
        <v>1</v>
      </c>
      <c r="AF56" s="126" t="s">
        <v>324</v>
      </c>
      <c r="AG56" s="137"/>
      <c r="AH56" s="304">
        <v>119.88</v>
      </c>
      <c r="AI56" s="304">
        <f aca="true" t="shared" si="5" ref="AI56:AI61">AI209</f>
        <v>1</v>
      </c>
      <c r="AK56" s="170"/>
      <c r="AL56" s="156"/>
      <c r="AM56" s="213"/>
      <c r="AN56" s="214"/>
      <c r="AP56" s="126" t="s">
        <v>326</v>
      </c>
      <c r="AQ56" s="137"/>
      <c r="AR56" s="146">
        <v>452.45</v>
      </c>
      <c r="AS56" s="146">
        <f>AS205</f>
        <v>1</v>
      </c>
      <c r="AU56" s="126" t="s">
        <v>327</v>
      </c>
      <c r="AV56" s="137"/>
      <c r="AW56" s="286">
        <v>369.62</v>
      </c>
      <c r="AX56" s="286">
        <f t="shared" si="3"/>
        <v>1</v>
      </c>
    </row>
    <row r="57" spans="2:50" s="94" customFormat="1" ht="12.75">
      <c r="B57" s="126" t="s">
        <v>328</v>
      </c>
      <c r="C57" s="137"/>
      <c r="D57" s="287">
        <v>353.69</v>
      </c>
      <c r="E57" s="238">
        <f t="shared" si="1"/>
        <v>1</v>
      </c>
      <c r="G57" s="126" t="s">
        <v>329</v>
      </c>
      <c r="H57" s="137"/>
      <c r="I57" s="151">
        <v>132.48</v>
      </c>
      <c r="J57" s="151">
        <f t="shared" si="4"/>
        <v>1</v>
      </c>
      <c r="L57" s="126" t="s">
        <v>330</v>
      </c>
      <c r="M57" s="137"/>
      <c r="N57" s="286">
        <v>1014.36</v>
      </c>
      <c r="O57" s="286">
        <f>O210</f>
        <v>1</v>
      </c>
      <c r="Q57" s="170"/>
      <c r="R57" s="156"/>
      <c r="S57" s="213"/>
      <c r="T57" s="214"/>
      <c r="V57" s="126" t="s">
        <v>332</v>
      </c>
      <c r="W57" s="137"/>
      <c r="X57" s="151">
        <v>143</v>
      </c>
      <c r="Y57" s="151">
        <f aca="true" t="shared" si="6" ref="Y57:Y63">Y208</f>
        <v>1</v>
      </c>
      <c r="AA57" s="126" t="s">
        <v>410</v>
      </c>
      <c r="AB57" s="137"/>
      <c r="AC57" s="287">
        <v>202.37</v>
      </c>
      <c r="AD57" s="287">
        <f t="shared" si="2"/>
        <v>1</v>
      </c>
      <c r="AF57" s="126" t="s">
        <v>334</v>
      </c>
      <c r="AG57" s="137"/>
      <c r="AH57" s="305">
        <v>492</v>
      </c>
      <c r="AI57" s="305">
        <f t="shared" si="5"/>
        <v>1</v>
      </c>
      <c r="AK57" s="170"/>
      <c r="AL57" s="156"/>
      <c r="AM57" s="213"/>
      <c r="AN57" s="214"/>
      <c r="AP57" s="126" t="s">
        <v>336</v>
      </c>
      <c r="AQ57" s="137"/>
      <c r="AR57" s="151">
        <v>153.45</v>
      </c>
      <c r="AS57" s="151">
        <f>AS206</f>
        <v>1</v>
      </c>
      <c r="AU57" s="126" t="s">
        <v>337</v>
      </c>
      <c r="AV57" s="137"/>
      <c r="AW57" s="287">
        <v>182.64</v>
      </c>
      <c r="AX57" s="287">
        <f t="shared" si="3"/>
        <v>1</v>
      </c>
    </row>
    <row r="58" spans="2:50" s="94" customFormat="1" ht="12.75">
      <c r="B58" s="126" t="s">
        <v>338</v>
      </c>
      <c r="C58" s="137"/>
      <c r="D58" s="287">
        <v>17.7</v>
      </c>
      <c r="E58" s="238">
        <f t="shared" si="1"/>
        <v>1</v>
      </c>
      <c r="G58" s="126" t="s">
        <v>339</v>
      </c>
      <c r="H58" s="137"/>
      <c r="I58" s="151">
        <v>31.56</v>
      </c>
      <c r="J58" s="151">
        <f t="shared" si="4"/>
        <v>1</v>
      </c>
      <c r="L58" s="126" t="s">
        <v>340</v>
      </c>
      <c r="M58" s="137"/>
      <c r="N58" s="298">
        <v>5766</v>
      </c>
      <c r="O58" s="298">
        <f>O211</f>
        <v>1</v>
      </c>
      <c r="Q58" s="170"/>
      <c r="R58" s="156"/>
      <c r="S58" s="213"/>
      <c r="T58" s="214"/>
      <c r="V58" s="126" t="s">
        <v>342</v>
      </c>
      <c r="W58" s="137"/>
      <c r="X58" s="151">
        <v>143</v>
      </c>
      <c r="Y58" s="151">
        <f t="shared" si="6"/>
        <v>1</v>
      </c>
      <c r="AA58" s="126" t="s">
        <v>341</v>
      </c>
      <c r="AB58" s="137"/>
      <c r="AC58" s="287">
        <v>0</v>
      </c>
      <c r="AD58" s="287">
        <f t="shared" si="2"/>
        <v>1</v>
      </c>
      <c r="AF58" s="126" t="s">
        <v>343</v>
      </c>
      <c r="AG58" s="156"/>
      <c r="AH58" s="305">
        <v>912</v>
      </c>
      <c r="AI58" s="305">
        <f t="shared" si="5"/>
        <v>1</v>
      </c>
      <c r="AK58" s="170"/>
      <c r="AL58" s="156"/>
      <c r="AM58" s="213"/>
      <c r="AN58" s="214"/>
      <c r="AP58" s="126" t="s">
        <v>345</v>
      </c>
      <c r="AQ58" s="137"/>
      <c r="AR58" s="151">
        <v>34.8</v>
      </c>
      <c r="AS58" s="151">
        <f>AS207</f>
        <v>1</v>
      </c>
      <c r="AU58" s="126" t="s">
        <v>346</v>
      </c>
      <c r="AV58" s="137"/>
      <c r="AW58" s="287">
        <v>182.64</v>
      </c>
      <c r="AX58" s="287">
        <f t="shared" si="3"/>
        <v>1</v>
      </c>
    </row>
    <row r="59" spans="2:50" s="94" customFormat="1" ht="12.75">
      <c r="B59" s="126" t="s">
        <v>347</v>
      </c>
      <c r="C59" s="137"/>
      <c r="D59" s="288">
        <v>14.75</v>
      </c>
      <c r="E59" s="236">
        <f t="shared" si="1"/>
        <v>1</v>
      </c>
      <c r="G59" s="126" t="s">
        <v>348</v>
      </c>
      <c r="H59" s="137"/>
      <c r="I59" s="149">
        <v>31.56</v>
      </c>
      <c r="J59" s="149">
        <f t="shared" si="4"/>
        <v>1</v>
      </c>
      <c r="L59" s="157"/>
      <c r="M59" s="158"/>
      <c r="N59" s="159"/>
      <c r="O59" s="291">
        <v>133.85650974642363</v>
      </c>
      <c r="Q59" s="170"/>
      <c r="R59" s="156"/>
      <c r="S59" s="213"/>
      <c r="T59" s="214"/>
      <c r="V59" s="126" t="s">
        <v>350</v>
      </c>
      <c r="W59" s="137"/>
      <c r="X59" s="149">
        <v>30.1</v>
      </c>
      <c r="Y59" s="149">
        <f t="shared" si="6"/>
        <v>1</v>
      </c>
      <c r="AA59" s="126" t="s">
        <v>411</v>
      </c>
      <c r="AB59" s="137"/>
      <c r="AC59" s="288">
        <v>13.47</v>
      </c>
      <c r="AD59" s="288">
        <f t="shared" si="2"/>
        <v>1</v>
      </c>
      <c r="AF59" s="126" t="s">
        <v>352</v>
      </c>
      <c r="AG59" s="137"/>
      <c r="AH59" s="305">
        <v>1452</v>
      </c>
      <c r="AI59" s="305">
        <f t="shared" si="5"/>
        <v>1</v>
      </c>
      <c r="AK59" s="170"/>
      <c r="AL59" s="156"/>
      <c r="AM59" s="213"/>
      <c r="AN59" s="214"/>
      <c r="AP59" s="126" t="s">
        <v>354</v>
      </c>
      <c r="AQ59" s="137"/>
      <c r="AR59" s="149">
        <v>34.8</v>
      </c>
      <c r="AS59" s="149">
        <f>AS208</f>
        <v>1</v>
      </c>
      <c r="AU59" s="126" t="s">
        <v>355</v>
      </c>
      <c r="AV59" s="137"/>
      <c r="AW59" s="287">
        <v>139.15</v>
      </c>
      <c r="AX59" s="287">
        <f t="shared" si="3"/>
        <v>1</v>
      </c>
    </row>
    <row r="60" spans="2:50" s="94" customFormat="1" ht="12.75">
      <c r="B60" s="126" t="s">
        <v>356</v>
      </c>
      <c r="C60" s="137"/>
      <c r="D60" s="288">
        <v>14.75</v>
      </c>
      <c r="E60" s="236">
        <f t="shared" si="1"/>
        <v>1</v>
      </c>
      <c r="G60" s="126" t="s">
        <v>357</v>
      </c>
      <c r="H60" s="137"/>
      <c r="I60" s="149">
        <v>31.56</v>
      </c>
      <c r="J60" s="149">
        <f t="shared" si="4"/>
        <v>1</v>
      </c>
      <c r="O60" s="161"/>
      <c r="Q60" s="170"/>
      <c r="R60" s="156"/>
      <c r="S60" s="213"/>
      <c r="T60" s="214"/>
      <c r="V60" s="126" t="s">
        <v>359</v>
      </c>
      <c r="W60" s="137"/>
      <c r="X60" s="149">
        <v>30.1</v>
      </c>
      <c r="Y60" s="149">
        <f t="shared" si="6"/>
        <v>1</v>
      </c>
      <c r="AA60" s="126" t="s">
        <v>412</v>
      </c>
      <c r="AB60" s="137"/>
      <c r="AC60" s="288">
        <v>13.47</v>
      </c>
      <c r="AD60" s="288">
        <f t="shared" si="2"/>
        <v>1</v>
      </c>
      <c r="AF60" s="126" t="s">
        <v>361</v>
      </c>
      <c r="AG60" s="137"/>
      <c r="AH60" s="306">
        <v>6420</v>
      </c>
      <c r="AI60" s="306">
        <f t="shared" si="5"/>
        <v>1</v>
      </c>
      <c r="AK60" s="170"/>
      <c r="AL60" s="156"/>
      <c r="AM60" s="213"/>
      <c r="AN60" s="214"/>
      <c r="AP60" s="126" t="s">
        <v>363</v>
      </c>
      <c r="AQ60" s="137"/>
      <c r="AR60" s="149">
        <v>0</v>
      </c>
      <c r="AS60" s="149"/>
      <c r="AU60" s="126" t="s">
        <v>364</v>
      </c>
      <c r="AV60" s="137"/>
      <c r="AW60" s="287">
        <v>139.15</v>
      </c>
      <c r="AX60" s="287">
        <f t="shared" si="3"/>
        <v>1</v>
      </c>
    </row>
    <row r="61" spans="2:50" s="94" customFormat="1" ht="12.75">
      <c r="B61" s="126" t="s">
        <v>365</v>
      </c>
      <c r="C61" s="137"/>
      <c r="D61" s="289">
        <v>14.75</v>
      </c>
      <c r="E61" s="235">
        <f t="shared" si="1"/>
        <v>1</v>
      </c>
      <c r="G61" s="126" t="s">
        <v>366</v>
      </c>
      <c r="H61" s="137"/>
      <c r="I61" s="140">
        <v>19.2</v>
      </c>
      <c r="J61" s="140">
        <f t="shared" si="4"/>
        <v>1</v>
      </c>
      <c r="Q61" s="170"/>
      <c r="R61" s="156"/>
      <c r="S61" s="213"/>
      <c r="T61" s="214"/>
      <c r="V61" s="126" t="s">
        <v>368</v>
      </c>
      <c r="W61" s="137"/>
      <c r="X61" s="140">
        <v>26.4</v>
      </c>
      <c r="Y61" s="140">
        <f t="shared" si="6"/>
        <v>1</v>
      </c>
      <c r="AA61" s="126" t="s">
        <v>413</v>
      </c>
      <c r="AB61" s="137"/>
      <c r="AC61" s="289">
        <v>13.47</v>
      </c>
      <c r="AD61" s="289">
        <f t="shared" si="2"/>
        <v>1</v>
      </c>
      <c r="AF61" s="126" t="s">
        <v>370</v>
      </c>
      <c r="AG61" s="137"/>
      <c r="AH61" s="306">
        <v>9336</v>
      </c>
      <c r="AI61" s="306">
        <f t="shared" si="5"/>
        <v>1</v>
      </c>
      <c r="AK61" s="170"/>
      <c r="AL61" s="156"/>
      <c r="AM61" s="213"/>
      <c r="AN61" s="214"/>
      <c r="AP61" s="126" t="s">
        <v>372</v>
      </c>
      <c r="AQ61" s="137"/>
      <c r="AR61" s="140">
        <v>21.46</v>
      </c>
      <c r="AS61" s="140">
        <f>AS209</f>
        <v>1</v>
      </c>
      <c r="AU61" s="126" t="s">
        <v>373</v>
      </c>
      <c r="AV61" s="137"/>
      <c r="AW61" s="287">
        <v>134.35</v>
      </c>
      <c r="AX61" s="287">
        <f t="shared" si="3"/>
        <v>1</v>
      </c>
    </row>
    <row r="62" spans="2:50" s="94" customFormat="1" ht="12.75">
      <c r="B62" s="126" t="s">
        <v>374</v>
      </c>
      <c r="C62" s="137"/>
      <c r="D62" s="289">
        <v>14.75</v>
      </c>
      <c r="E62" s="235">
        <f t="shared" si="1"/>
        <v>1</v>
      </c>
      <c r="G62" s="126" t="s">
        <v>375</v>
      </c>
      <c r="H62" s="137"/>
      <c r="I62" s="140">
        <v>19.2</v>
      </c>
      <c r="J62" s="140">
        <f t="shared" si="4"/>
        <v>1</v>
      </c>
      <c r="Q62" s="170"/>
      <c r="R62" s="156"/>
      <c r="S62" s="213"/>
      <c r="T62" s="214"/>
      <c r="V62" s="126" t="s">
        <v>377</v>
      </c>
      <c r="W62" s="137"/>
      <c r="X62" s="140">
        <v>26.4</v>
      </c>
      <c r="Y62" s="140">
        <f t="shared" si="6"/>
        <v>1</v>
      </c>
      <c r="AA62" s="126" t="s">
        <v>414</v>
      </c>
      <c r="AB62" s="137"/>
      <c r="AC62" s="289">
        <v>13.47</v>
      </c>
      <c r="AD62" s="289">
        <f t="shared" si="2"/>
        <v>1</v>
      </c>
      <c r="AF62" s="126" t="s">
        <v>379</v>
      </c>
      <c r="AG62" s="137"/>
      <c r="AH62" s="308">
        <v>7.8</v>
      </c>
      <c r="AI62" s="308">
        <f>AI215</f>
        <v>1</v>
      </c>
      <c r="AK62" s="170"/>
      <c r="AL62" s="156"/>
      <c r="AM62" s="213"/>
      <c r="AN62" s="214"/>
      <c r="AP62" s="126" t="s">
        <v>381</v>
      </c>
      <c r="AQ62" s="137"/>
      <c r="AR62" s="140">
        <v>21.46</v>
      </c>
      <c r="AS62" s="140">
        <f>AS210</f>
        <v>1</v>
      </c>
      <c r="AU62" s="126" t="s">
        <v>382</v>
      </c>
      <c r="AV62" s="137"/>
      <c r="AW62" s="287">
        <v>126.4</v>
      </c>
      <c r="AX62" s="287">
        <f t="shared" si="3"/>
        <v>1</v>
      </c>
    </row>
    <row r="63" spans="2:50" s="94" customFormat="1" ht="12.75">
      <c r="B63" s="126" t="s">
        <v>383</v>
      </c>
      <c r="C63" s="137"/>
      <c r="D63" s="290">
        <v>5.16</v>
      </c>
      <c r="E63" s="165">
        <f t="shared" si="1"/>
        <v>1</v>
      </c>
      <c r="G63" s="126" t="s">
        <v>384</v>
      </c>
      <c r="H63" s="137"/>
      <c r="I63" s="167">
        <v>1.92</v>
      </c>
      <c r="J63" s="167">
        <f>J215</f>
        <v>1</v>
      </c>
      <c r="Q63" s="170"/>
      <c r="R63" s="156"/>
      <c r="S63" s="213"/>
      <c r="T63" s="214"/>
      <c r="V63" s="126" t="s">
        <v>386</v>
      </c>
      <c r="W63" s="137"/>
      <c r="X63" s="167">
        <v>3.26</v>
      </c>
      <c r="Y63" s="167">
        <f t="shared" si="6"/>
        <v>1</v>
      </c>
      <c r="AA63" s="126" t="s">
        <v>387</v>
      </c>
      <c r="AB63" s="137"/>
      <c r="AC63" s="292">
        <v>6.23</v>
      </c>
      <c r="AD63" s="292">
        <f t="shared" si="2"/>
        <v>1</v>
      </c>
      <c r="AF63" s="157"/>
      <c r="AG63" s="158"/>
      <c r="AH63" s="168"/>
      <c r="AI63" s="291"/>
      <c r="AK63" s="170"/>
      <c r="AL63" s="156"/>
      <c r="AM63" s="213"/>
      <c r="AN63" s="214"/>
      <c r="AP63" s="126" t="s">
        <v>389</v>
      </c>
      <c r="AQ63" s="137"/>
      <c r="AR63" s="167">
        <v>10.6</v>
      </c>
      <c r="AS63" s="167">
        <f>AS211</f>
        <v>1</v>
      </c>
      <c r="AU63" s="126" t="s">
        <v>390</v>
      </c>
      <c r="AV63" s="137"/>
      <c r="AW63" s="288">
        <v>50.87</v>
      </c>
      <c r="AX63" s="288">
        <f t="shared" si="3"/>
        <v>1</v>
      </c>
    </row>
    <row r="64" spans="2:50" s="94" customFormat="1" ht="12.75">
      <c r="B64" s="157"/>
      <c r="C64" s="158"/>
      <c r="D64" s="159"/>
      <c r="E64" s="291"/>
      <c r="G64" s="157"/>
      <c r="H64" s="158"/>
      <c r="I64" s="159"/>
      <c r="J64" s="160"/>
      <c r="Q64" s="157"/>
      <c r="R64" s="158"/>
      <c r="S64" s="159"/>
      <c r="T64" s="160"/>
      <c r="V64" s="157"/>
      <c r="W64" s="158"/>
      <c r="X64" s="159"/>
      <c r="Y64" s="160"/>
      <c r="AA64" s="157"/>
      <c r="AB64" s="158"/>
      <c r="AC64" s="159"/>
      <c r="AD64" s="299"/>
      <c r="AK64" s="157"/>
      <c r="AL64" s="158"/>
      <c r="AM64" s="159"/>
      <c r="AN64" s="160"/>
      <c r="AP64" s="157"/>
      <c r="AQ64" s="158"/>
      <c r="AR64" s="159"/>
      <c r="AS64" s="160"/>
      <c r="AU64" s="170" t="s">
        <v>391</v>
      </c>
      <c r="AV64" s="156"/>
      <c r="AW64" s="288">
        <v>50.87</v>
      </c>
      <c r="AX64" s="288">
        <f t="shared" si="3"/>
        <v>1</v>
      </c>
    </row>
    <row r="65" spans="47:50" ht="12.75">
      <c r="AU65" s="170" t="s">
        <v>392</v>
      </c>
      <c r="AV65" s="156"/>
      <c r="AW65" s="288">
        <v>50.87</v>
      </c>
      <c r="AX65" s="288">
        <f t="shared" si="3"/>
        <v>1</v>
      </c>
    </row>
    <row r="66" spans="27:50" ht="12.75">
      <c r="AA66" s="203"/>
      <c r="AU66" s="170" t="s">
        <v>393</v>
      </c>
      <c r="AV66" s="156"/>
      <c r="AW66" s="288">
        <v>15.09</v>
      </c>
      <c r="AX66" s="288">
        <f t="shared" si="3"/>
        <v>1</v>
      </c>
    </row>
    <row r="67" spans="47:50" ht="12.75">
      <c r="AU67" s="170" t="s">
        <v>396</v>
      </c>
      <c r="AV67" s="156"/>
      <c r="AW67" s="289">
        <v>13.5</v>
      </c>
      <c r="AX67" s="289">
        <f t="shared" si="3"/>
        <v>1</v>
      </c>
    </row>
    <row r="68" spans="47:50" ht="12.75">
      <c r="AU68" s="170" t="s">
        <v>399</v>
      </c>
      <c r="AV68" s="156"/>
      <c r="AW68" s="292">
        <v>2.54</v>
      </c>
      <c r="AX68" s="292">
        <f t="shared" si="3"/>
        <v>1</v>
      </c>
    </row>
    <row r="69" spans="47:50" ht="12.75">
      <c r="AU69" s="157"/>
      <c r="AV69" s="158"/>
      <c r="AW69" s="159"/>
      <c r="AX69" s="291"/>
    </row>
    <row r="70" spans="2:50" s="94" customFormat="1" ht="12.75">
      <c r="B70" s="217" t="s">
        <v>451</v>
      </c>
      <c r="C70" s="182"/>
      <c r="D70" s="219">
        <f>SUMPRODUCT(D52:D68,E52:E68)</f>
        <v>840.1</v>
      </c>
      <c r="G70" s="217" t="s">
        <v>451</v>
      </c>
      <c r="H70" s="182"/>
      <c r="I70" s="219">
        <f>SUMPRODUCT(I52:I68,J52:J68)</f>
        <v>7280.04</v>
      </c>
      <c r="L70" s="217" t="s">
        <v>451</v>
      </c>
      <c r="M70" s="182"/>
      <c r="N70" s="219">
        <f>SUMPRODUCT(N52:N68,O52:O68)</f>
        <v>7339.68</v>
      </c>
      <c r="Q70" s="217" t="s">
        <v>451</v>
      </c>
      <c r="R70" s="182"/>
      <c r="S70" s="219">
        <f>SUMPRODUCT(S52:S68,T52:T68)</f>
        <v>0</v>
      </c>
      <c r="V70" s="217" t="s">
        <v>451</v>
      </c>
      <c r="W70" s="182"/>
      <c r="X70" s="219">
        <f>SUMPRODUCT(X52:X68,Y52:Y68)</f>
        <v>4822.26</v>
      </c>
      <c r="AA70" s="217" t="s">
        <v>451</v>
      </c>
      <c r="AB70" s="182"/>
      <c r="AC70" s="219">
        <f>SUMPRODUCT(AC52:AC68,AD52:AD68)</f>
        <v>7800.080000000001</v>
      </c>
      <c r="AF70" s="217" t="s">
        <v>451</v>
      </c>
      <c r="AG70" s="182"/>
      <c r="AH70" s="219">
        <f>SUMPRODUCT(AH52:AH68,AI52:AI68)</f>
        <v>19023.96</v>
      </c>
      <c r="AK70" s="217" t="s">
        <v>451</v>
      </c>
      <c r="AL70" s="182"/>
      <c r="AM70" s="219">
        <f>SUMPRODUCT(AM52:AM68,AN52:AN68)</f>
        <v>0</v>
      </c>
      <c r="AP70" s="217" t="s">
        <v>451</v>
      </c>
      <c r="AQ70" s="182"/>
      <c r="AR70" s="219">
        <f>SUMPRODUCT(AR52:AR68,AS52:AS68)</f>
        <v>2071.52</v>
      </c>
      <c r="AU70" s="217" t="s">
        <v>451</v>
      </c>
      <c r="AV70" s="182"/>
      <c r="AW70" s="219">
        <f>SUMPRODUCT(AW52:AW68,AX52:AX68)</f>
        <v>9396.630000000001</v>
      </c>
      <c r="AX70" s="91"/>
    </row>
    <row r="72" spans="1:12" s="199" customFormat="1" ht="12.75">
      <c r="A72" s="199" t="s">
        <v>464</v>
      </c>
      <c r="B72" s="83"/>
      <c r="C72" s="200"/>
      <c r="D72" s="200"/>
      <c r="E72" s="200"/>
      <c r="F72" s="200"/>
      <c r="G72" s="200"/>
      <c r="H72" s="200"/>
      <c r="I72" s="200"/>
      <c r="J72" s="200"/>
      <c r="K72" s="200"/>
      <c r="L72" s="200"/>
    </row>
    <row r="73" s="94" customFormat="1" ht="12.75">
      <c r="A73" s="198"/>
    </row>
    <row r="74" spans="2:5" s="94" customFormat="1" ht="12.75">
      <c r="B74" s="172" t="s">
        <v>394</v>
      </c>
      <c r="C74" s="204" t="s">
        <v>416</v>
      </c>
      <c r="D74" s="173"/>
      <c r="E74" s="174"/>
    </row>
    <row r="75" spans="2:5" s="94" customFormat="1" ht="12.75">
      <c r="B75" s="175" t="s">
        <v>397</v>
      </c>
      <c r="C75" s="176" t="s">
        <v>398</v>
      </c>
      <c r="D75" s="176"/>
      <c r="E75" s="177"/>
    </row>
    <row r="76" spans="2:5" s="94" customFormat="1" ht="12.75">
      <c r="B76" s="178" t="s">
        <v>400</v>
      </c>
      <c r="C76" s="179" t="s">
        <v>401</v>
      </c>
      <c r="D76" s="179"/>
      <c r="E76" s="180"/>
    </row>
    <row r="77" s="94" customFormat="1" ht="12.75"/>
    <row r="78" spans="1:12" s="199" customFormat="1" ht="12.75">
      <c r="A78" s="199" t="s">
        <v>472</v>
      </c>
      <c r="B78" s="83"/>
      <c r="C78" s="200"/>
      <c r="D78" s="200"/>
      <c r="E78" s="200"/>
      <c r="F78" s="200"/>
      <c r="G78" s="200"/>
      <c r="H78" s="200"/>
      <c r="I78" s="200"/>
      <c r="J78" s="200"/>
      <c r="K78" s="200"/>
      <c r="L78" s="200"/>
    </row>
    <row r="79" s="94" customFormat="1" ht="12.75"/>
    <row r="80" spans="2:47" s="94" customFormat="1" ht="12.75">
      <c r="B80" s="171" t="s">
        <v>146</v>
      </c>
      <c r="G80" s="171" t="s">
        <v>29</v>
      </c>
      <c r="L80" s="171" t="s">
        <v>147</v>
      </c>
      <c r="Q80" s="171" t="s">
        <v>288</v>
      </c>
      <c r="V80" s="171" t="s">
        <v>148</v>
      </c>
      <c r="AA80" s="171" t="s">
        <v>149</v>
      </c>
      <c r="AF80" s="171" t="s">
        <v>150</v>
      </c>
      <c r="AK80" s="121" t="s">
        <v>195</v>
      </c>
      <c r="AL80" s="86"/>
      <c r="AM80" s="86"/>
      <c r="AN80" s="86"/>
      <c r="AP80" s="171" t="s">
        <v>151</v>
      </c>
      <c r="AU80" s="171" t="s">
        <v>30</v>
      </c>
    </row>
    <row r="81" spans="2:50" s="94" customFormat="1" ht="12.75">
      <c r="B81" s="181"/>
      <c r="C81" s="182"/>
      <c r="D81" s="183" t="s">
        <v>402</v>
      </c>
      <c r="E81" s="184" t="s">
        <v>403</v>
      </c>
      <c r="G81" s="181"/>
      <c r="H81" s="182"/>
      <c r="I81" s="183" t="s">
        <v>402</v>
      </c>
      <c r="J81" s="184" t="s">
        <v>403</v>
      </c>
      <c r="L81" s="181"/>
      <c r="M81" s="182"/>
      <c r="N81" s="183" t="s">
        <v>402</v>
      </c>
      <c r="O81" s="184" t="s">
        <v>403</v>
      </c>
      <c r="Q81" s="316"/>
      <c r="R81" s="220"/>
      <c r="S81" s="269"/>
      <c r="T81" s="270"/>
      <c r="V81" s="181"/>
      <c r="W81" s="182"/>
      <c r="X81" s="183" t="s">
        <v>402</v>
      </c>
      <c r="Y81" s="184" t="s">
        <v>403</v>
      </c>
      <c r="AA81" s="181"/>
      <c r="AB81" s="182"/>
      <c r="AC81" s="183" t="s">
        <v>402</v>
      </c>
      <c r="AD81" s="184" t="s">
        <v>403</v>
      </c>
      <c r="AF81" s="181"/>
      <c r="AG81" s="182"/>
      <c r="AH81" s="183" t="s">
        <v>402</v>
      </c>
      <c r="AI81" s="184" t="s">
        <v>403</v>
      </c>
      <c r="AK81" s="316"/>
      <c r="AL81" s="220"/>
      <c r="AM81" s="269"/>
      <c r="AN81" s="270"/>
      <c r="AP81" s="181"/>
      <c r="AQ81" s="182"/>
      <c r="AR81" s="183" t="s">
        <v>402</v>
      </c>
      <c r="AS81" s="184" t="s">
        <v>403</v>
      </c>
      <c r="AU81" s="181"/>
      <c r="AV81" s="182"/>
      <c r="AW81" s="183" t="s">
        <v>402</v>
      </c>
      <c r="AX81" s="184" t="s">
        <v>403</v>
      </c>
    </row>
    <row r="82" spans="2:50" s="94" customFormat="1" ht="12.75">
      <c r="B82" s="175" t="s">
        <v>404</v>
      </c>
      <c r="C82" s="96"/>
      <c r="D82" s="185">
        <f>D63</f>
        <v>5.16</v>
      </c>
      <c r="E82" s="186">
        <f>E63</f>
        <v>1</v>
      </c>
      <c r="G82" s="175" t="s">
        <v>404</v>
      </c>
      <c r="H82" s="96"/>
      <c r="I82" s="185">
        <f>I63</f>
        <v>1.92</v>
      </c>
      <c r="J82" s="186">
        <f>J63</f>
        <v>1</v>
      </c>
      <c r="L82" s="175" t="s">
        <v>404</v>
      </c>
      <c r="M82" s="96"/>
      <c r="N82" s="185">
        <f aca="true" t="shared" si="7" ref="N82:O85">N52</f>
        <v>6.24</v>
      </c>
      <c r="O82" s="186">
        <f t="shared" si="7"/>
        <v>1</v>
      </c>
      <c r="Q82" s="317"/>
      <c r="R82" s="31"/>
      <c r="S82" s="271"/>
      <c r="T82" s="272"/>
      <c r="V82" s="175" t="s">
        <v>404</v>
      </c>
      <c r="W82" s="96"/>
      <c r="X82" s="185">
        <f>X63</f>
        <v>3.26</v>
      </c>
      <c r="Y82" s="186">
        <f>Y63</f>
        <v>1</v>
      </c>
      <c r="AA82" s="175" t="s">
        <v>404</v>
      </c>
      <c r="AB82" s="96"/>
      <c r="AC82" s="185">
        <f>AC63</f>
        <v>6.23</v>
      </c>
      <c r="AD82" s="186">
        <f>AD63</f>
        <v>1</v>
      </c>
      <c r="AF82" s="175" t="s">
        <v>404</v>
      </c>
      <c r="AG82" s="96"/>
      <c r="AH82" s="185">
        <f>AH62</f>
        <v>7.8</v>
      </c>
      <c r="AI82" s="186">
        <f>AI62</f>
        <v>1</v>
      </c>
      <c r="AK82" s="317"/>
      <c r="AL82" s="31"/>
      <c r="AM82" s="271"/>
      <c r="AN82" s="272"/>
      <c r="AP82" s="175" t="s">
        <v>404</v>
      </c>
      <c r="AQ82" s="96"/>
      <c r="AR82" s="185">
        <f>AR63</f>
        <v>10.6</v>
      </c>
      <c r="AS82" s="186">
        <f>AS63</f>
        <v>1</v>
      </c>
      <c r="AU82" s="175" t="s">
        <v>404</v>
      </c>
      <c r="AV82" s="96"/>
      <c r="AW82" s="185">
        <f>AW68</f>
        <v>2.54</v>
      </c>
      <c r="AX82" s="186">
        <f>AX68</f>
        <v>1</v>
      </c>
    </row>
    <row r="83" spans="2:50" s="94" customFormat="1" ht="12.75">
      <c r="B83" s="175" t="s">
        <v>405</v>
      </c>
      <c r="C83" s="96"/>
      <c r="D83" s="187">
        <f>D61</f>
        <v>14.75</v>
      </c>
      <c r="E83" s="188">
        <f>E61+E62</f>
        <v>2</v>
      </c>
      <c r="G83" s="175" t="s">
        <v>405</v>
      </c>
      <c r="H83" s="96"/>
      <c r="I83" s="187">
        <f>I62</f>
        <v>19.2</v>
      </c>
      <c r="J83" s="188">
        <f>J61+J62</f>
        <v>2</v>
      </c>
      <c r="L83" s="175" t="s">
        <v>405</v>
      </c>
      <c r="M83" s="96"/>
      <c r="N83" s="187">
        <f t="shared" si="7"/>
        <v>16.56</v>
      </c>
      <c r="O83" s="188">
        <f t="shared" si="7"/>
        <v>1</v>
      </c>
      <c r="Q83" s="317"/>
      <c r="R83" s="31"/>
      <c r="S83" s="273"/>
      <c r="T83" s="274"/>
      <c r="V83" s="175" t="s">
        <v>405</v>
      </c>
      <c r="W83" s="96"/>
      <c r="X83" s="187">
        <f>X61</f>
        <v>26.4</v>
      </c>
      <c r="Y83" s="188">
        <f>Y61+Y62</f>
        <v>2</v>
      </c>
      <c r="AA83" s="175" t="s">
        <v>405</v>
      </c>
      <c r="AB83" s="96"/>
      <c r="AC83" s="187">
        <f>AC61</f>
        <v>13.47</v>
      </c>
      <c r="AD83" s="188">
        <f>AD61+AD62</f>
        <v>2</v>
      </c>
      <c r="AF83" s="175" t="s">
        <v>405</v>
      </c>
      <c r="AG83" s="96"/>
      <c r="AH83" s="187">
        <f>AH52</f>
        <v>15.96</v>
      </c>
      <c r="AI83" s="188">
        <f>AI52</f>
        <v>1</v>
      </c>
      <c r="AK83" s="317"/>
      <c r="AL83" s="31"/>
      <c r="AM83" s="273"/>
      <c r="AN83" s="274"/>
      <c r="AP83" s="175" t="s">
        <v>405</v>
      </c>
      <c r="AQ83" s="96"/>
      <c r="AR83" s="187">
        <f>AR61</f>
        <v>21.46</v>
      </c>
      <c r="AS83" s="188">
        <f>AS61+AS62</f>
        <v>2</v>
      </c>
      <c r="AU83" s="175" t="s">
        <v>405</v>
      </c>
      <c r="AV83" s="96"/>
      <c r="AW83" s="187">
        <f>AW67</f>
        <v>13.5</v>
      </c>
      <c r="AX83" s="188">
        <f>AX67</f>
        <v>1</v>
      </c>
    </row>
    <row r="84" spans="2:50" s="94" customFormat="1" ht="12.75">
      <c r="B84" s="175" t="s">
        <v>406</v>
      </c>
      <c r="C84" s="96"/>
      <c r="D84" s="189">
        <f>D59</f>
        <v>14.75</v>
      </c>
      <c r="E84" s="190">
        <f>E59+E60</f>
        <v>2</v>
      </c>
      <c r="G84" s="175" t="s">
        <v>406</v>
      </c>
      <c r="H84" s="96"/>
      <c r="I84" s="189">
        <f>I59</f>
        <v>31.56</v>
      </c>
      <c r="J84" s="190">
        <f>J59+J60</f>
        <v>2</v>
      </c>
      <c r="L84" s="175" t="s">
        <v>406</v>
      </c>
      <c r="M84" s="96"/>
      <c r="N84" s="189">
        <f t="shared" si="7"/>
        <v>32.88</v>
      </c>
      <c r="O84" s="190">
        <f t="shared" si="7"/>
        <v>2</v>
      </c>
      <c r="Q84" s="317"/>
      <c r="R84" s="31"/>
      <c r="S84" s="273"/>
      <c r="T84" s="274"/>
      <c r="V84" s="175" t="s">
        <v>406</v>
      </c>
      <c r="W84" s="96"/>
      <c r="X84" s="189">
        <f>X59</f>
        <v>30.1</v>
      </c>
      <c r="Y84" s="190">
        <f>Y59+Y60</f>
        <v>2</v>
      </c>
      <c r="AA84" s="175" t="s">
        <v>406</v>
      </c>
      <c r="AB84" s="96"/>
      <c r="AC84" s="189">
        <f>AC59</f>
        <v>13.47</v>
      </c>
      <c r="AD84" s="190">
        <f>AD59+AD60</f>
        <v>2</v>
      </c>
      <c r="AF84" s="175" t="s">
        <v>406</v>
      </c>
      <c r="AG84" s="96"/>
      <c r="AH84" s="189">
        <f>(AH53*AI53+AH54*AI54)/(AI53+AI54)</f>
        <v>27.240000000000002</v>
      </c>
      <c r="AI84" s="190">
        <f>AI53+AI54</f>
        <v>2</v>
      </c>
      <c r="AK84" s="317"/>
      <c r="AL84" s="31"/>
      <c r="AM84" s="273"/>
      <c r="AN84" s="274"/>
      <c r="AP84" s="175" t="s">
        <v>406</v>
      </c>
      <c r="AQ84" s="96"/>
      <c r="AR84" s="189">
        <f>AR59</f>
        <v>34.8</v>
      </c>
      <c r="AS84" s="190">
        <f>AS59</f>
        <v>1</v>
      </c>
      <c r="AU84" s="175" t="s">
        <v>406</v>
      </c>
      <c r="AV84" s="96"/>
      <c r="AW84" s="189">
        <f>SUMPRODUCT(AW63:AW66,AX63:AX66)/SUM(AX63:AX66)</f>
        <v>41.925</v>
      </c>
      <c r="AX84" s="190">
        <f>SUM(AX63:AX66)</f>
        <v>4</v>
      </c>
    </row>
    <row r="85" spans="2:50" s="94" customFormat="1" ht="12.75">
      <c r="B85" s="175" t="s">
        <v>394</v>
      </c>
      <c r="C85" s="96"/>
      <c r="D85" s="191">
        <f>(D58*E58+D57*E57)/(E57+E58)</f>
        <v>185.695</v>
      </c>
      <c r="E85" s="192">
        <f>E58+E57</f>
        <v>2</v>
      </c>
      <c r="G85" s="175" t="s">
        <v>394</v>
      </c>
      <c r="H85" s="96"/>
      <c r="I85" s="191">
        <f>(I57*J57+I58*J58)/(J57+J58)</f>
        <v>82.02</v>
      </c>
      <c r="J85" s="192">
        <f>J57+J58</f>
        <v>2</v>
      </c>
      <c r="L85" s="175" t="s">
        <v>394</v>
      </c>
      <c r="M85" s="96"/>
      <c r="N85" s="191">
        <f t="shared" si="7"/>
        <v>46.8</v>
      </c>
      <c r="O85" s="192">
        <f t="shared" si="7"/>
        <v>1</v>
      </c>
      <c r="Q85" s="317"/>
      <c r="R85" s="31"/>
      <c r="S85" s="273"/>
      <c r="T85" s="274"/>
      <c r="V85" s="175" t="s">
        <v>394</v>
      </c>
      <c r="W85" s="96"/>
      <c r="X85" s="191">
        <f>(X58*Y58+X57*Y57)/(Y57+Y58)</f>
        <v>143</v>
      </c>
      <c r="Y85" s="192">
        <f>Y58+Y57</f>
        <v>2</v>
      </c>
      <c r="AA85" s="175" t="s">
        <v>394</v>
      </c>
      <c r="AB85" s="96"/>
      <c r="AC85" s="191">
        <f>AC57</f>
        <v>202.37</v>
      </c>
      <c r="AD85" s="192">
        <f>AD57</f>
        <v>1</v>
      </c>
      <c r="AF85" s="175" t="s">
        <v>394</v>
      </c>
      <c r="AG85" s="96"/>
      <c r="AH85" s="191">
        <f>(AH55*AI55+AH56*AI56)/(AI55+AI56)</f>
        <v>111.24000000000001</v>
      </c>
      <c r="AI85" s="192">
        <f>AI55+AI56</f>
        <v>3</v>
      </c>
      <c r="AK85" s="317"/>
      <c r="AL85" s="31"/>
      <c r="AM85" s="273"/>
      <c r="AN85" s="274"/>
      <c r="AP85" s="175" t="s">
        <v>394</v>
      </c>
      <c r="AQ85" s="96"/>
      <c r="AR85" s="191">
        <f>(AR57*AS57+AR58*AS58)/(AS57+AS58)</f>
        <v>94.125</v>
      </c>
      <c r="AS85" s="192">
        <f>AS57+AS58</f>
        <v>2</v>
      </c>
      <c r="AU85" s="175" t="s">
        <v>394</v>
      </c>
      <c r="AV85" s="96"/>
      <c r="AW85" s="191">
        <f>SUMPRODUCT(AW57:AW62,AX57:AX62)/SUM(AX57:AX62)</f>
        <v>150.72166666666666</v>
      </c>
      <c r="AX85" s="192">
        <f>SUM(AX57:AX62)</f>
        <v>6</v>
      </c>
    </row>
    <row r="86" spans="2:50" s="94" customFormat="1" ht="12.75">
      <c r="B86" s="175" t="s">
        <v>397</v>
      </c>
      <c r="C86" s="96"/>
      <c r="D86" s="193">
        <f>D56</f>
        <v>404.55</v>
      </c>
      <c r="E86" s="194">
        <f>E56</f>
        <v>1</v>
      </c>
      <c r="G86" s="175" t="s">
        <v>397</v>
      </c>
      <c r="H86" s="96"/>
      <c r="I86" s="193">
        <f>I56</f>
        <v>915.36</v>
      </c>
      <c r="J86" s="194">
        <f>J56</f>
        <v>1</v>
      </c>
      <c r="L86" s="175" t="s">
        <v>397</v>
      </c>
      <c r="M86" s="96"/>
      <c r="N86" s="193">
        <f>(N56*O56+N57*O57)/(O56+O57)</f>
        <v>719.16</v>
      </c>
      <c r="O86" s="194">
        <f>O56+O57</f>
        <v>2</v>
      </c>
      <c r="Q86" s="317"/>
      <c r="R86" s="31"/>
      <c r="S86" s="273"/>
      <c r="T86" s="274"/>
      <c r="V86" s="175" t="s">
        <v>397</v>
      </c>
      <c r="W86" s="96"/>
      <c r="X86" s="193">
        <f>X56</f>
        <v>569</v>
      </c>
      <c r="Y86" s="194">
        <f>Y56</f>
        <v>2</v>
      </c>
      <c r="AA86" s="175" t="s">
        <v>397</v>
      </c>
      <c r="AB86" s="96"/>
      <c r="AC86" s="193">
        <f>AC56</f>
        <v>581.83</v>
      </c>
      <c r="AD86" s="194">
        <f>AD56</f>
        <v>1</v>
      </c>
      <c r="AF86" s="175" t="s">
        <v>397</v>
      </c>
      <c r="AG86" s="96"/>
      <c r="AH86" s="193">
        <f>SUMPRODUCT(AH57:AH59,AI57:AI59)/SUM(AI57:AI59)</f>
        <v>952</v>
      </c>
      <c r="AI86" s="194">
        <f>SUM(AI57:AI59)</f>
        <v>3</v>
      </c>
      <c r="AK86" s="317"/>
      <c r="AL86" s="31"/>
      <c r="AM86" s="273"/>
      <c r="AN86" s="274"/>
      <c r="AP86" s="175" t="s">
        <v>397</v>
      </c>
      <c r="AQ86" s="96"/>
      <c r="AR86" s="193">
        <f>(AR55*AS55+AR56*AS56)/(AS55+AS56)</f>
        <v>897.475</v>
      </c>
      <c r="AS86" s="194">
        <f>AS55+AS56</f>
        <v>2</v>
      </c>
      <c r="AU86" s="175" t="s">
        <v>397</v>
      </c>
      <c r="AV86" s="96"/>
      <c r="AW86" s="193">
        <f>SUMPRODUCT(AW53:AW56,AX53:AX56)/SUM(AX53:AX56)</f>
        <v>808.8199999999999</v>
      </c>
      <c r="AX86" s="194">
        <f>SUM(AX53:AX56)</f>
        <v>4</v>
      </c>
    </row>
    <row r="87" spans="2:50" s="94" customFormat="1" ht="12.75">
      <c r="B87" s="178" t="s">
        <v>400</v>
      </c>
      <c r="C87" s="195"/>
      <c r="D87" s="196"/>
      <c r="E87" s="197"/>
      <c r="G87" s="178" t="s">
        <v>400</v>
      </c>
      <c r="H87" s="195"/>
      <c r="I87" s="196">
        <f>I54</f>
        <v>6097.2</v>
      </c>
      <c r="J87" s="197">
        <f>J54</f>
        <v>1</v>
      </c>
      <c r="L87" s="178" t="s">
        <v>400</v>
      </c>
      <c r="M87" s="195"/>
      <c r="N87" s="196">
        <f>N58</f>
        <v>5766</v>
      </c>
      <c r="O87" s="197">
        <f>O58</f>
        <v>1</v>
      </c>
      <c r="Q87" s="318"/>
      <c r="R87" s="239"/>
      <c r="S87" s="275"/>
      <c r="T87" s="241"/>
      <c r="V87" s="178" t="s">
        <v>400</v>
      </c>
      <c r="W87" s="195"/>
      <c r="X87" s="196">
        <f>(X54*Y54+X55*Y55)/(Y54+Y55)</f>
        <v>1641</v>
      </c>
      <c r="Y87" s="197">
        <f>Y54+Y55</f>
        <v>2</v>
      </c>
      <c r="AA87" s="178" t="s">
        <v>400</v>
      </c>
      <c r="AB87" s="195"/>
      <c r="AC87" s="196">
        <f>(AC54*AD54+AC55*AD55)/(AD54+AD55)</f>
        <v>3477.885</v>
      </c>
      <c r="AD87" s="197">
        <f>AD54+AD55</f>
        <v>2</v>
      </c>
      <c r="AF87" s="178" t="s">
        <v>400</v>
      </c>
      <c r="AG87" s="195"/>
      <c r="AH87" s="196">
        <f>(AH60*AI60+AH61*AI61)/(AI60+AI61)</f>
        <v>7878</v>
      </c>
      <c r="AI87" s="197">
        <f>AI60+AI61</f>
        <v>2</v>
      </c>
      <c r="AK87" s="318"/>
      <c r="AL87" s="239"/>
      <c r="AM87" s="275"/>
      <c r="AN87" s="241"/>
      <c r="AP87" s="178" t="s">
        <v>400</v>
      </c>
      <c r="AQ87" s="195"/>
      <c r="AR87" s="196"/>
      <c r="AS87" s="197"/>
      <c r="AU87" s="178" t="s">
        <v>400</v>
      </c>
      <c r="AV87" s="195"/>
      <c r="AW87" s="196">
        <f>AW52</f>
        <v>5073.28</v>
      </c>
      <c r="AX87" s="197">
        <f>AX52</f>
        <v>1</v>
      </c>
    </row>
    <row r="88" spans="2:50" s="86" customFormat="1" ht="12.75">
      <c r="B88" s="223" t="s">
        <v>451</v>
      </c>
      <c r="C88" s="220"/>
      <c r="D88" s="222">
        <f>SUMPRODUCT(D82:D87,E82:E87)</f>
        <v>840.0999999999999</v>
      </c>
      <c r="E88" s="221"/>
      <c r="G88" s="223" t="s">
        <v>451</v>
      </c>
      <c r="H88" s="220"/>
      <c r="I88" s="222">
        <f>SUMPRODUCT(I82:I87,J82:J87)</f>
        <v>7280.04</v>
      </c>
      <c r="J88" s="221"/>
      <c r="L88" s="223" t="s">
        <v>451</v>
      </c>
      <c r="M88" s="220"/>
      <c r="N88" s="222">
        <f>SUMPRODUCT(N82:N87,O82:O87)</f>
        <v>7339.68</v>
      </c>
      <c r="O88" s="221"/>
      <c r="Q88" s="223" t="s">
        <v>451</v>
      </c>
      <c r="R88" s="220"/>
      <c r="S88" s="222">
        <f>SUMPRODUCT(S82:S87,T82:T87)</f>
        <v>0</v>
      </c>
      <c r="T88" s="221"/>
      <c r="V88" s="223" t="s">
        <v>451</v>
      </c>
      <c r="W88" s="220"/>
      <c r="X88" s="222">
        <f>SUMPRODUCT(X82:X87,Y82:Y87)</f>
        <v>4822.26</v>
      </c>
      <c r="Y88" s="221"/>
      <c r="AA88" s="223" t="s">
        <v>451</v>
      </c>
      <c r="AB88" s="220"/>
      <c r="AC88" s="222">
        <f>SUMPRODUCT(AC82:AC87,AD82:AD87)</f>
        <v>7800.080000000001</v>
      </c>
      <c r="AD88" s="221"/>
      <c r="AF88" s="223" t="s">
        <v>451</v>
      </c>
      <c r="AG88" s="220"/>
      <c r="AH88" s="222">
        <f>SUMPRODUCT(AH82:AH87,AI82:AI87)</f>
        <v>19023.96</v>
      </c>
      <c r="AI88" s="221"/>
      <c r="AK88" s="223" t="s">
        <v>451</v>
      </c>
      <c r="AL88" s="220"/>
      <c r="AM88" s="222">
        <f>SUMPRODUCT(AM82:AM87,AN82:AN87)</f>
        <v>0</v>
      </c>
      <c r="AN88" s="221"/>
      <c r="AP88" s="223" t="s">
        <v>451</v>
      </c>
      <c r="AQ88" s="220"/>
      <c r="AR88" s="222">
        <f>SUMPRODUCT(AR82:AR87,AS82:AS87)</f>
        <v>2071.52</v>
      </c>
      <c r="AS88" s="221"/>
      <c r="AU88" s="223" t="s">
        <v>451</v>
      </c>
      <c r="AV88" s="220"/>
      <c r="AW88" s="222">
        <f>SUMPRODUCT(AW82:AW87,AX82:AX87)</f>
        <v>9396.63</v>
      </c>
      <c r="AX88" s="221"/>
    </row>
    <row r="89" spans="2:44" ht="12.75">
      <c r="B89" s="94"/>
      <c r="C89" s="94"/>
      <c r="D89" s="94"/>
      <c r="E89" s="94"/>
      <c r="S89" s="94"/>
      <c r="T89" s="94"/>
      <c r="V89" s="94"/>
      <c r="W89" s="94"/>
      <c r="X89" s="94"/>
      <c r="Y89" s="94"/>
      <c r="Z89" s="94"/>
      <c r="AK89" s="94"/>
      <c r="AL89" s="94"/>
      <c r="AM89" s="94"/>
      <c r="AN89" s="94"/>
      <c r="AO89" s="94"/>
      <c r="AP89" s="94"/>
      <c r="AQ89" s="94"/>
      <c r="AR89" s="94"/>
    </row>
    <row r="90" spans="2:44" ht="12.75">
      <c r="B90" s="94"/>
      <c r="C90" s="94"/>
      <c r="D90" s="94"/>
      <c r="E90" s="94"/>
      <c r="S90" s="94"/>
      <c r="T90" s="94"/>
      <c r="V90" s="94"/>
      <c r="W90" s="94"/>
      <c r="X90" s="94"/>
      <c r="Y90" s="94"/>
      <c r="Z90" s="94"/>
      <c r="AK90" s="94"/>
      <c r="AL90" s="94"/>
      <c r="AM90" s="94"/>
      <c r="AN90" s="94"/>
      <c r="AO90" s="94"/>
      <c r="AP90" s="94"/>
      <c r="AQ90" s="94"/>
      <c r="AR90" s="94"/>
    </row>
    <row r="91" spans="1:12" s="199" customFormat="1" ht="12.75">
      <c r="A91" s="199" t="s">
        <v>95</v>
      </c>
      <c r="B91" s="83"/>
      <c r="C91" s="200"/>
      <c r="D91" s="200"/>
      <c r="E91" s="200"/>
      <c r="F91" s="200"/>
      <c r="G91" s="200"/>
      <c r="H91" s="200"/>
      <c r="I91" s="200"/>
      <c r="J91" s="200"/>
      <c r="K91" s="200"/>
      <c r="L91" s="200"/>
    </row>
    <row r="92" spans="1:20" ht="12.75">
      <c r="A92" s="205"/>
      <c r="B92" s="94"/>
      <c r="C92" s="94"/>
      <c r="D92" s="94"/>
      <c r="E92" s="94"/>
      <c r="F92" s="319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</row>
    <row r="93" spans="2:47" s="94" customFormat="1" ht="15.75">
      <c r="B93" s="122" t="s">
        <v>146</v>
      </c>
      <c r="F93" s="319"/>
      <c r="G93" s="122" t="s">
        <v>29</v>
      </c>
      <c r="L93" s="122" t="s">
        <v>147</v>
      </c>
      <c r="Q93" s="122" t="s">
        <v>288</v>
      </c>
      <c r="V93" s="122" t="s">
        <v>148</v>
      </c>
      <c r="AA93" s="122" t="s">
        <v>149</v>
      </c>
      <c r="AF93" s="122" t="s">
        <v>150</v>
      </c>
      <c r="AK93" s="122" t="s">
        <v>195</v>
      </c>
      <c r="AP93" s="122" t="s">
        <v>151</v>
      </c>
      <c r="AU93" s="123" t="s">
        <v>30</v>
      </c>
    </row>
    <row r="94" spans="2:50" s="94" customFormat="1" ht="12.75">
      <c r="B94" s="124" t="s">
        <v>252</v>
      </c>
      <c r="C94" s="125"/>
      <c r="D94" s="124" t="s">
        <v>402</v>
      </c>
      <c r="E94" s="282" t="s">
        <v>403</v>
      </c>
      <c r="F94" s="243"/>
      <c r="G94" s="124" t="s">
        <v>252</v>
      </c>
      <c r="H94" s="295"/>
      <c r="I94" s="297" t="s">
        <v>402</v>
      </c>
      <c r="J94" s="184" t="s">
        <v>403</v>
      </c>
      <c r="L94" s="124" t="s">
        <v>252</v>
      </c>
      <c r="M94" s="125"/>
      <c r="N94" s="183" t="s">
        <v>402</v>
      </c>
      <c r="O94" s="184" t="s">
        <v>403</v>
      </c>
      <c r="Q94" s="124"/>
      <c r="R94" s="125"/>
      <c r="S94" s="183" t="s">
        <v>402</v>
      </c>
      <c r="T94" s="184" t="s">
        <v>403</v>
      </c>
      <c r="V94" s="225" t="s">
        <v>252</v>
      </c>
      <c r="W94" s="226"/>
      <c r="X94" s="294" t="s">
        <v>402</v>
      </c>
      <c r="Y94" s="293" t="s">
        <v>403</v>
      </c>
      <c r="AA94" s="124" t="s">
        <v>252</v>
      </c>
      <c r="AB94" s="125"/>
      <c r="AC94" s="183" t="s">
        <v>402</v>
      </c>
      <c r="AD94" s="184" t="s">
        <v>403</v>
      </c>
      <c r="AF94" s="124" t="s">
        <v>252</v>
      </c>
      <c r="AG94" s="125"/>
      <c r="AH94" s="183" t="s">
        <v>402</v>
      </c>
      <c r="AI94" s="184" t="s">
        <v>403</v>
      </c>
      <c r="AK94" s="124"/>
      <c r="AL94" s="125"/>
      <c r="AM94" s="183" t="s">
        <v>402</v>
      </c>
      <c r="AN94" s="184" t="s">
        <v>403</v>
      </c>
      <c r="AP94" s="124"/>
      <c r="AQ94" s="125"/>
      <c r="AR94" s="183" t="s">
        <v>402</v>
      </c>
      <c r="AS94" s="184" t="s">
        <v>403</v>
      </c>
      <c r="AU94" s="124" t="s">
        <v>252</v>
      </c>
      <c r="AV94" s="125"/>
      <c r="AW94" s="183" t="s">
        <v>402</v>
      </c>
      <c r="AX94" s="184" t="s">
        <v>403</v>
      </c>
    </row>
    <row r="95" spans="2:50" s="94" customFormat="1" ht="12.75">
      <c r="B95" s="132"/>
      <c r="C95" s="127"/>
      <c r="D95" s="128"/>
      <c r="E95" s="129"/>
      <c r="F95" s="243"/>
      <c r="G95" s="254" t="s">
        <v>229</v>
      </c>
      <c r="H95" s="127"/>
      <c r="I95" s="246">
        <v>132743.35809459188</v>
      </c>
      <c r="J95" s="136">
        <v>11</v>
      </c>
      <c r="L95" s="132" t="s">
        <v>241</v>
      </c>
      <c r="M95" s="231"/>
      <c r="N95" s="327">
        <v>503.16</v>
      </c>
      <c r="O95" s="328">
        <v>1.818507035535416</v>
      </c>
      <c r="Q95" s="170" t="s">
        <v>239</v>
      </c>
      <c r="R95" s="242"/>
      <c r="S95" s="135">
        <v>1981</v>
      </c>
      <c r="T95" s="136">
        <v>19</v>
      </c>
      <c r="V95" s="132" t="s">
        <v>229</v>
      </c>
      <c r="W95" s="231"/>
      <c r="X95" s="246">
        <v>1509510.94</v>
      </c>
      <c r="Y95" s="136">
        <v>1</v>
      </c>
      <c r="AA95" s="132" t="s">
        <v>243</v>
      </c>
      <c r="AB95" s="127"/>
      <c r="AC95" s="334">
        <v>589.56</v>
      </c>
      <c r="AD95" s="328">
        <v>581.1253609057519</v>
      </c>
      <c r="AF95" s="132" t="s">
        <v>229</v>
      </c>
      <c r="AG95" s="127"/>
      <c r="AH95" s="332">
        <v>7332.857142857143</v>
      </c>
      <c r="AI95" s="136">
        <v>7</v>
      </c>
      <c r="AK95" s="225"/>
      <c r="AL95" s="226"/>
      <c r="AM95" s="296"/>
      <c r="AN95" s="293"/>
      <c r="AP95" s="225"/>
      <c r="AQ95" s="310"/>
      <c r="AR95" s="296"/>
      <c r="AS95" s="293"/>
      <c r="AU95" s="126" t="s">
        <v>297</v>
      </c>
      <c r="AV95" s="127"/>
      <c r="AW95" s="135">
        <v>4868.93</v>
      </c>
      <c r="AX95" s="136">
        <v>16.858060927577267</v>
      </c>
    </row>
    <row r="96" spans="2:50" s="94" customFormat="1" ht="12.75">
      <c r="B96" s="126"/>
      <c r="C96" s="137"/>
      <c r="D96" s="138"/>
      <c r="E96" s="139"/>
      <c r="F96" s="243"/>
      <c r="G96" s="215" t="s">
        <v>235</v>
      </c>
      <c r="H96" s="137"/>
      <c r="I96" s="233">
        <v>169964.80159999998</v>
      </c>
      <c r="J96" s="145">
        <v>1</v>
      </c>
      <c r="L96" s="126" t="s">
        <v>243</v>
      </c>
      <c r="M96" s="227"/>
      <c r="N96" s="237">
        <v>824.1189752472163</v>
      </c>
      <c r="O96" s="147">
        <v>2803.6194644188354</v>
      </c>
      <c r="Q96" s="170" t="s">
        <v>243</v>
      </c>
      <c r="R96" s="156"/>
      <c r="S96" s="146">
        <v>629</v>
      </c>
      <c r="T96" s="147">
        <v>73</v>
      </c>
      <c r="V96" s="126" t="s">
        <v>235</v>
      </c>
      <c r="W96" s="227"/>
      <c r="X96" s="233">
        <v>417986.03</v>
      </c>
      <c r="Y96" s="145">
        <v>1</v>
      </c>
      <c r="AA96" s="126" t="s">
        <v>244</v>
      </c>
      <c r="AB96" s="137"/>
      <c r="AC96" s="151">
        <v>205.2</v>
      </c>
      <c r="AD96" s="152">
        <v>739.7711606757068</v>
      </c>
      <c r="AF96" s="126" t="s">
        <v>237</v>
      </c>
      <c r="AG96" s="137"/>
      <c r="AH96" s="162">
        <v>6486</v>
      </c>
      <c r="AI96" s="145">
        <v>3</v>
      </c>
      <c r="AK96" s="243" t="s">
        <v>237</v>
      </c>
      <c r="AL96" s="137"/>
      <c r="AM96" s="233">
        <v>1794</v>
      </c>
      <c r="AN96" s="307">
        <v>1</v>
      </c>
      <c r="AP96" s="126"/>
      <c r="AQ96" s="227"/>
      <c r="AR96" s="301"/>
      <c r="AS96" s="139"/>
      <c r="AU96" s="126" t="s">
        <v>302</v>
      </c>
      <c r="AV96" s="137"/>
      <c r="AW96" s="146">
        <v>1599.79</v>
      </c>
      <c r="AX96" s="147">
        <v>89.59757837816291</v>
      </c>
    </row>
    <row r="97" spans="2:50" s="94" customFormat="1" ht="12.75">
      <c r="B97" s="126"/>
      <c r="C97" s="137"/>
      <c r="D97" s="138"/>
      <c r="E97" s="139"/>
      <c r="F97" s="323"/>
      <c r="G97" s="215" t="s">
        <v>239</v>
      </c>
      <c r="H97" s="137"/>
      <c r="I97" s="326">
        <v>11197.64379795222</v>
      </c>
      <c r="J97" s="145">
        <v>24.416666666666657</v>
      </c>
      <c r="L97" s="126" t="s">
        <v>244</v>
      </c>
      <c r="M97" s="227"/>
      <c r="N97" s="238">
        <v>199.81615509296373</v>
      </c>
      <c r="O97" s="152">
        <v>9716.756881327708</v>
      </c>
      <c r="Q97" s="170" t="s">
        <v>244</v>
      </c>
      <c r="R97" s="156"/>
      <c r="S97" s="151">
        <v>158</v>
      </c>
      <c r="T97" s="152">
        <v>285</v>
      </c>
      <c r="V97" s="126" t="s">
        <v>239</v>
      </c>
      <c r="W97" s="227"/>
      <c r="X97" s="233">
        <v>1977</v>
      </c>
      <c r="Y97" s="145">
        <v>872</v>
      </c>
      <c r="AA97" s="126" t="s">
        <v>247</v>
      </c>
      <c r="AB97" s="137"/>
      <c r="AC97" s="149">
        <v>13.8</v>
      </c>
      <c r="AD97" s="143">
        <v>699.9382658898834</v>
      </c>
      <c r="AF97" s="126" t="s">
        <v>239</v>
      </c>
      <c r="AG97" s="137"/>
      <c r="AH97" s="162">
        <v>7308.270967741935</v>
      </c>
      <c r="AI97" s="145">
        <v>155</v>
      </c>
      <c r="AK97" s="215" t="s">
        <v>239</v>
      </c>
      <c r="AL97" s="137"/>
      <c r="AM97" s="233">
        <v>2700</v>
      </c>
      <c r="AN97" s="145">
        <v>1</v>
      </c>
      <c r="AP97" s="126" t="s">
        <v>241</v>
      </c>
      <c r="AQ97" s="227"/>
      <c r="AR97" s="237">
        <v>1229</v>
      </c>
      <c r="AS97" s="147">
        <v>1</v>
      </c>
      <c r="AU97" s="126" t="s">
        <v>310</v>
      </c>
      <c r="AV97" s="137"/>
      <c r="AW97" s="146">
        <v>619.04</v>
      </c>
      <c r="AX97" s="147">
        <v>51.37744264913773</v>
      </c>
    </row>
    <row r="98" spans="1:50" s="94" customFormat="1" ht="12.75">
      <c r="A98" s="243"/>
      <c r="B98" s="215" t="s">
        <v>241</v>
      </c>
      <c r="C98" s="137"/>
      <c r="D98" s="138"/>
      <c r="E98" s="139"/>
      <c r="F98" s="243"/>
      <c r="G98" s="215" t="s">
        <v>240</v>
      </c>
      <c r="H98" s="137"/>
      <c r="I98" s="326">
        <v>11712.6</v>
      </c>
      <c r="J98" s="145">
        <v>1</v>
      </c>
      <c r="L98" s="126" t="s">
        <v>245</v>
      </c>
      <c r="M98" s="227"/>
      <c r="N98" s="238">
        <v>41.04</v>
      </c>
      <c r="O98" s="152">
        <v>7411.379142300195</v>
      </c>
      <c r="Q98" s="170" t="s">
        <v>247</v>
      </c>
      <c r="R98" s="156"/>
      <c r="S98" s="149">
        <v>33.3</v>
      </c>
      <c r="T98" s="143">
        <v>1530</v>
      </c>
      <c r="V98" s="126" t="s">
        <v>240</v>
      </c>
      <c r="W98" s="227"/>
      <c r="X98" s="233">
        <v>1977</v>
      </c>
      <c r="Y98" s="145">
        <v>45.49</v>
      </c>
      <c r="AA98" s="126" t="s">
        <v>248</v>
      </c>
      <c r="AB98" s="137"/>
      <c r="AC98" s="149">
        <v>13.8</v>
      </c>
      <c r="AD98" s="143">
        <v>2223.042211729736</v>
      </c>
      <c r="AF98" s="126" t="s">
        <v>243</v>
      </c>
      <c r="AG98" s="137"/>
      <c r="AH98" s="155">
        <v>626.2090032154341</v>
      </c>
      <c r="AI98" s="147">
        <v>11818</v>
      </c>
      <c r="AK98" s="215" t="s">
        <v>243</v>
      </c>
      <c r="AL98" s="137"/>
      <c r="AM98" s="237">
        <v>978</v>
      </c>
      <c r="AN98" s="147">
        <v>23</v>
      </c>
      <c r="AP98" s="126" t="s">
        <v>243</v>
      </c>
      <c r="AQ98" s="227"/>
      <c r="AR98" s="237">
        <v>435</v>
      </c>
      <c r="AS98" s="147">
        <v>19</v>
      </c>
      <c r="AU98" s="126" t="s">
        <v>317</v>
      </c>
      <c r="AV98" s="137"/>
      <c r="AW98" s="146">
        <v>531.41</v>
      </c>
      <c r="AX98" s="147">
        <v>37.19280796500764</v>
      </c>
    </row>
    <row r="99" spans="1:50" s="94" customFormat="1" ht="12.75">
      <c r="A99" s="243"/>
      <c r="B99" s="215" t="s">
        <v>243</v>
      </c>
      <c r="C99" s="137"/>
      <c r="D99" s="146">
        <v>328.26</v>
      </c>
      <c r="E99" s="147">
        <v>31</v>
      </c>
      <c r="F99" s="243"/>
      <c r="G99" s="215" t="s">
        <v>241</v>
      </c>
      <c r="H99" s="137"/>
      <c r="I99" s="325"/>
      <c r="J99" s="147"/>
      <c r="L99" s="126" t="s">
        <v>247</v>
      </c>
      <c r="M99" s="227"/>
      <c r="N99" s="236">
        <v>39.284967048094</v>
      </c>
      <c r="O99" s="143">
        <v>57102.88613081166</v>
      </c>
      <c r="Q99" s="170" t="s">
        <v>250</v>
      </c>
      <c r="R99" s="156"/>
      <c r="S99" s="140">
        <v>29.2</v>
      </c>
      <c r="T99" s="141">
        <v>19294</v>
      </c>
      <c r="V99" s="126" t="s">
        <v>241</v>
      </c>
      <c r="W99" s="227"/>
      <c r="X99" s="237">
        <v>1703</v>
      </c>
      <c r="Y99" s="147">
        <v>383</v>
      </c>
      <c r="AA99" s="126" t="s">
        <v>250</v>
      </c>
      <c r="AB99" s="137"/>
      <c r="AC99" s="140">
        <v>13.8</v>
      </c>
      <c r="AD99" s="141">
        <v>7255.631412656911</v>
      </c>
      <c r="AF99" s="126" t="s">
        <v>244</v>
      </c>
      <c r="AG99" s="137"/>
      <c r="AH99" s="153">
        <v>111.34514599450961</v>
      </c>
      <c r="AI99" s="152">
        <v>12021</v>
      </c>
      <c r="AK99" s="215" t="s">
        <v>244</v>
      </c>
      <c r="AL99" s="137"/>
      <c r="AM99" s="238">
        <v>56.4</v>
      </c>
      <c r="AN99" s="152">
        <v>152</v>
      </c>
      <c r="AP99" s="126" t="s">
        <v>244</v>
      </c>
      <c r="AQ99" s="227"/>
      <c r="AR99" s="238">
        <v>150</v>
      </c>
      <c r="AS99" s="152">
        <v>127.5</v>
      </c>
      <c r="AU99" s="126" t="s">
        <v>327</v>
      </c>
      <c r="AV99" s="137"/>
      <c r="AW99" s="146">
        <v>354.74</v>
      </c>
      <c r="AX99" s="147">
        <v>162.516604995348</v>
      </c>
    </row>
    <row r="100" spans="1:50" s="94" customFormat="1" ht="12.75">
      <c r="A100" s="243"/>
      <c r="B100" s="243" t="s">
        <v>244</v>
      </c>
      <c r="C100" s="137"/>
      <c r="D100" s="151">
        <v>300.34</v>
      </c>
      <c r="E100" s="152">
        <v>189</v>
      </c>
      <c r="F100" s="243"/>
      <c r="G100" s="215" t="s">
        <v>243</v>
      </c>
      <c r="H100" s="137"/>
      <c r="I100" s="237">
        <v>1045.44</v>
      </c>
      <c r="J100" s="147">
        <v>315.25</v>
      </c>
      <c r="L100" s="126" t="s">
        <v>248</v>
      </c>
      <c r="M100" s="227"/>
      <c r="N100" s="236">
        <v>37.296882547572736</v>
      </c>
      <c r="O100" s="143">
        <v>8603.989880137695</v>
      </c>
      <c r="Q100" s="170" t="s">
        <v>251</v>
      </c>
      <c r="R100" s="156"/>
      <c r="S100" s="140">
        <v>29.2</v>
      </c>
      <c r="T100" s="141">
        <v>25105</v>
      </c>
      <c r="V100" s="126" t="s">
        <v>243</v>
      </c>
      <c r="W100" s="227"/>
      <c r="X100" s="237">
        <v>629</v>
      </c>
      <c r="Y100" s="147">
        <v>8566</v>
      </c>
      <c r="AA100" s="126" t="s">
        <v>251</v>
      </c>
      <c r="AB100" s="137"/>
      <c r="AC100" s="140">
        <v>13.8</v>
      </c>
      <c r="AD100" s="141">
        <v>87909.51534650881</v>
      </c>
      <c r="AF100" s="126" t="s">
        <v>245</v>
      </c>
      <c r="AG100" s="137"/>
      <c r="AH100" s="153">
        <v>30</v>
      </c>
      <c r="AI100" s="152">
        <v>1714</v>
      </c>
      <c r="AK100" s="215" t="s">
        <v>245</v>
      </c>
      <c r="AL100" s="137"/>
      <c r="AM100" s="238">
        <v>7.56</v>
      </c>
      <c r="AN100" s="152">
        <v>155</v>
      </c>
      <c r="AP100" s="126" t="s">
        <v>245</v>
      </c>
      <c r="AQ100" s="227"/>
      <c r="AR100" s="238">
        <v>34.5</v>
      </c>
      <c r="AS100" s="152">
        <v>87.8</v>
      </c>
      <c r="AU100" s="126" t="s">
        <v>337</v>
      </c>
      <c r="AV100" s="137"/>
      <c r="AW100" s="151">
        <v>175.28</v>
      </c>
      <c r="AX100" s="152">
        <v>98.06939838777241</v>
      </c>
    </row>
    <row r="101" spans="1:50" s="94" customFormat="1" ht="12.75">
      <c r="A101" s="243"/>
      <c r="B101" s="243" t="s">
        <v>245</v>
      </c>
      <c r="C101" s="137"/>
      <c r="D101" s="151">
        <v>14.37</v>
      </c>
      <c r="E101" s="152">
        <v>307</v>
      </c>
      <c r="F101" s="243"/>
      <c r="G101" s="215" t="s">
        <v>244</v>
      </c>
      <c r="H101" s="137"/>
      <c r="I101" s="238">
        <v>151.32</v>
      </c>
      <c r="J101" s="152">
        <v>1227.1666666666667</v>
      </c>
      <c r="L101" s="126" t="s">
        <v>250</v>
      </c>
      <c r="M101" s="227"/>
      <c r="N101" s="235">
        <v>19.808242368761658</v>
      </c>
      <c r="O101" s="141">
        <v>1260206.8136730178</v>
      </c>
      <c r="Q101" s="170" t="s">
        <v>253</v>
      </c>
      <c r="R101" s="156"/>
      <c r="S101" s="167">
        <v>3.53</v>
      </c>
      <c r="T101" s="164">
        <v>14987</v>
      </c>
      <c r="V101" s="126" t="s">
        <v>244</v>
      </c>
      <c r="W101" s="227"/>
      <c r="X101" s="238">
        <v>158</v>
      </c>
      <c r="Y101" s="152">
        <v>26937</v>
      </c>
      <c r="AA101" s="126" t="s">
        <v>253</v>
      </c>
      <c r="AB101" s="137"/>
      <c r="AC101" s="167">
        <v>6.6</v>
      </c>
      <c r="AD101" s="164">
        <v>40214.5</v>
      </c>
      <c r="AF101" s="126" t="s">
        <v>247</v>
      </c>
      <c r="AG101" s="156"/>
      <c r="AH101" s="142">
        <v>26.089469074543327</v>
      </c>
      <c r="AI101" s="143">
        <v>67972.51414580841</v>
      </c>
      <c r="AK101" s="215" t="s">
        <v>247</v>
      </c>
      <c r="AL101" s="137"/>
      <c r="AM101" s="236">
        <v>7.56</v>
      </c>
      <c r="AN101" s="143">
        <v>1656</v>
      </c>
      <c r="AP101" s="126" t="s">
        <v>247</v>
      </c>
      <c r="AQ101" s="227"/>
      <c r="AR101" s="236">
        <v>34.5</v>
      </c>
      <c r="AS101" s="143">
        <v>1084.5</v>
      </c>
      <c r="AU101" s="126" t="s">
        <v>346</v>
      </c>
      <c r="AV101" s="137"/>
      <c r="AW101" s="151">
        <v>175.28</v>
      </c>
      <c r="AX101" s="152">
        <v>21.958415889648503</v>
      </c>
    </row>
    <row r="102" spans="1:50" s="94" customFormat="1" ht="12.75">
      <c r="A102" s="243"/>
      <c r="B102" s="215" t="s">
        <v>247</v>
      </c>
      <c r="C102" s="137"/>
      <c r="D102" s="149">
        <v>13.14</v>
      </c>
      <c r="E102" s="143">
        <v>1056</v>
      </c>
      <c r="F102" s="243"/>
      <c r="G102" s="215" t="s">
        <v>245</v>
      </c>
      <c r="H102" s="137"/>
      <c r="I102" s="238">
        <v>36.24</v>
      </c>
      <c r="J102" s="152">
        <v>452</v>
      </c>
      <c r="L102" s="170" t="s">
        <v>251</v>
      </c>
      <c r="M102" s="92"/>
      <c r="N102" s="253">
        <v>18.456284501255</v>
      </c>
      <c r="O102" s="141">
        <v>506675.59872975096</v>
      </c>
      <c r="Q102" s="157"/>
      <c r="R102" s="158"/>
      <c r="S102" s="159"/>
      <c r="T102" s="160"/>
      <c r="V102" s="126" t="s">
        <v>245</v>
      </c>
      <c r="W102" s="227"/>
      <c r="X102" s="238">
        <v>158</v>
      </c>
      <c r="Y102" s="152">
        <v>4641</v>
      </c>
      <c r="AA102" s="333"/>
      <c r="AB102" s="158"/>
      <c r="AC102" s="159"/>
      <c r="AD102" s="169"/>
      <c r="AF102" s="126" t="s">
        <v>248</v>
      </c>
      <c r="AG102" s="137"/>
      <c r="AH102" s="142">
        <v>26.334965473335732</v>
      </c>
      <c r="AI102" s="143">
        <v>41933.96909593476</v>
      </c>
      <c r="AK102" s="215" t="s">
        <v>248</v>
      </c>
      <c r="AL102" s="137"/>
      <c r="AM102" s="236">
        <v>7.56</v>
      </c>
      <c r="AN102" s="143">
        <v>214</v>
      </c>
      <c r="AP102" s="126" t="s">
        <v>248</v>
      </c>
      <c r="AQ102" s="227"/>
      <c r="AR102" s="236"/>
      <c r="AS102" s="143"/>
      <c r="AU102" s="126" t="s">
        <v>355</v>
      </c>
      <c r="AV102" s="137"/>
      <c r="AW102" s="151">
        <v>133.55</v>
      </c>
      <c r="AX102" s="152">
        <v>31.72748352511857</v>
      </c>
    </row>
    <row r="103" spans="1:50" s="94" customFormat="1" ht="12.75">
      <c r="A103" s="243"/>
      <c r="B103" s="215" t="s">
        <v>248</v>
      </c>
      <c r="C103" s="137"/>
      <c r="D103" s="149">
        <v>13.14</v>
      </c>
      <c r="E103" s="143">
        <v>514</v>
      </c>
      <c r="F103" s="243"/>
      <c r="G103" s="215" t="s">
        <v>247</v>
      </c>
      <c r="H103" s="137"/>
      <c r="I103" s="236">
        <v>36.24</v>
      </c>
      <c r="J103" s="143">
        <v>5670.153333333333</v>
      </c>
      <c r="L103" s="170" t="s">
        <v>253</v>
      </c>
      <c r="M103" s="92"/>
      <c r="N103" s="329">
        <v>8.551764331885133</v>
      </c>
      <c r="O103" s="164">
        <v>726649</v>
      </c>
      <c r="Q103" s="92"/>
      <c r="R103" s="92"/>
      <c r="S103" s="201"/>
      <c r="T103" s="91"/>
      <c r="V103" s="126" t="s">
        <v>247</v>
      </c>
      <c r="W103" s="227"/>
      <c r="X103" s="236">
        <v>33.3</v>
      </c>
      <c r="Y103" s="143">
        <v>63442</v>
      </c>
      <c r="AA103" s="227"/>
      <c r="AB103" s="227"/>
      <c r="AC103" s="201"/>
      <c r="AD103" s="91"/>
      <c r="AF103" s="126" t="s">
        <v>250</v>
      </c>
      <c r="AG103" s="137"/>
      <c r="AH103" s="331">
        <v>15.96</v>
      </c>
      <c r="AI103" s="141">
        <v>760880.9786418099</v>
      </c>
      <c r="AK103" s="215" t="s">
        <v>250</v>
      </c>
      <c r="AL103" s="137"/>
      <c r="AM103" s="235">
        <v>7.56</v>
      </c>
      <c r="AN103" s="141">
        <v>25041</v>
      </c>
      <c r="AP103" s="126" t="s">
        <v>250</v>
      </c>
      <c r="AQ103" s="227"/>
      <c r="AR103" s="235">
        <v>21.1</v>
      </c>
      <c r="AS103" s="141">
        <v>16985.6</v>
      </c>
      <c r="AU103" s="126" t="s">
        <v>364</v>
      </c>
      <c r="AV103" s="137"/>
      <c r="AW103" s="151">
        <v>133.55</v>
      </c>
      <c r="AX103" s="152">
        <v>167.7137777063648</v>
      </c>
    </row>
    <row r="104" spans="1:50" s="94" customFormat="1" ht="12.75">
      <c r="A104" s="243"/>
      <c r="B104" s="215" t="s">
        <v>250</v>
      </c>
      <c r="C104" s="137"/>
      <c r="D104" s="140">
        <v>13.14</v>
      </c>
      <c r="E104" s="141">
        <v>30659</v>
      </c>
      <c r="F104" s="243"/>
      <c r="G104" s="215" t="s">
        <v>248</v>
      </c>
      <c r="H104" s="137"/>
      <c r="I104" s="236">
        <v>36.24</v>
      </c>
      <c r="J104" s="143">
        <v>2001.5725</v>
      </c>
      <c r="L104" s="181"/>
      <c r="M104" s="182"/>
      <c r="N104" s="232"/>
      <c r="O104" s="218"/>
      <c r="Q104" s="92"/>
      <c r="R104" s="92"/>
      <c r="S104" s="201"/>
      <c r="T104" s="91"/>
      <c r="V104" s="126" t="s">
        <v>248</v>
      </c>
      <c r="W104" s="227"/>
      <c r="X104" s="236">
        <v>33.3</v>
      </c>
      <c r="Y104" s="143">
        <v>0</v>
      </c>
      <c r="AA104" s="227"/>
      <c r="AB104" s="227"/>
      <c r="AC104" s="201"/>
      <c r="AD104" s="91"/>
      <c r="AF104" s="126" t="s">
        <v>251</v>
      </c>
      <c r="AG104" s="137"/>
      <c r="AH104" s="331">
        <v>15.960000640206548</v>
      </c>
      <c r="AI104" s="141">
        <v>1874395.1390943108</v>
      </c>
      <c r="AK104" s="215" t="s">
        <v>251</v>
      </c>
      <c r="AL104" s="137"/>
      <c r="AM104" s="235">
        <v>7.56</v>
      </c>
      <c r="AN104" s="141">
        <v>10050</v>
      </c>
      <c r="AP104" s="126" t="s">
        <v>251</v>
      </c>
      <c r="AQ104" s="227"/>
      <c r="AR104" s="235">
        <v>21.1</v>
      </c>
      <c r="AS104" s="141">
        <v>12267</v>
      </c>
      <c r="AU104" s="126" t="s">
        <v>373</v>
      </c>
      <c r="AV104" s="137"/>
      <c r="AW104" s="151">
        <v>128.95</v>
      </c>
      <c r="AX104" s="152">
        <v>94.24817394489953</v>
      </c>
    </row>
    <row r="105" spans="1:50" s="94" customFormat="1" ht="12.75">
      <c r="A105" s="243"/>
      <c r="B105" s="215" t="s">
        <v>251</v>
      </c>
      <c r="C105" s="137"/>
      <c r="D105" s="140">
        <v>13.14</v>
      </c>
      <c r="E105" s="141">
        <v>18395</v>
      </c>
      <c r="F105" s="243"/>
      <c r="G105" s="215" t="s">
        <v>250</v>
      </c>
      <c r="H105" s="137"/>
      <c r="I105" s="235">
        <v>21.96</v>
      </c>
      <c r="J105" s="141">
        <v>72379.44583333335</v>
      </c>
      <c r="Q105" s="92"/>
      <c r="R105" s="92"/>
      <c r="S105" s="201"/>
      <c r="T105" s="91"/>
      <c r="V105" s="126" t="s">
        <v>250</v>
      </c>
      <c r="W105" s="227"/>
      <c r="X105" s="235">
        <v>29.2</v>
      </c>
      <c r="Y105" s="141">
        <v>1049026</v>
      </c>
      <c r="AA105" s="227"/>
      <c r="AB105" s="227"/>
      <c r="AC105" s="201"/>
      <c r="AD105" s="91"/>
      <c r="AF105" s="126" t="s">
        <v>253</v>
      </c>
      <c r="AG105" s="137"/>
      <c r="AH105" s="163">
        <v>8.4</v>
      </c>
      <c r="AI105" s="164">
        <v>713241</v>
      </c>
      <c r="AK105" s="321" t="s">
        <v>253</v>
      </c>
      <c r="AL105" s="257"/>
      <c r="AM105" s="251">
        <v>2.28</v>
      </c>
      <c r="AN105" s="252">
        <v>8347</v>
      </c>
      <c r="AP105" s="321" t="s">
        <v>253</v>
      </c>
      <c r="AQ105" s="337"/>
      <c r="AR105" s="251">
        <v>10.5</v>
      </c>
      <c r="AS105" s="252">
        <v>17296</v>
      </c>
      <c r="AU105" s="126" t="s">
        <v>382</v>
      </c>
      <c r="AV105" s="137"/>
      <c r="AW105" s="151">
        <v>121.3</v>
      </c>
      <c r="AX105" s="152">
        <v>628.7536573899245</v>
      </c>
    </row>
    <row r="106" spans="2:50" s="94" customFormat="1" ht="12.75">
      <c r="B106" s="321" t="s">
        <v>253</v>
      </c>
      <c r="C106" s="257"/>
      <c r="D106" s="320">
        <v>4.59</v>
      </c>
      <c r="E106" s="166">
        <v>21440</v>
      </c>
      <c r="G106" s="215" t="s">
        <v>251</v>
      </c>
      <c r="H106" s="137"/>
      <c r="I106" s="235">
        <v>21.96</v>
      </c>
      <c r="J106" s="141">
        <v>114971.20500000002</v>
      </c>
      <c r="Q106" s="92"/>
      <c r="R106" s="92"/>
      <c r="S106" s="201"/>
      <c r="T106" s="91"/>
      <c r="V106" s="126" t="s">
        <v>251</v>
      </c>
      <c r="W106" s="227"/>
      <c r="X106" s="235">
        <v>29.2</v>
      </c>
      <c r="Y106" s="141">
        <v>1308925</v>
      </c>
      <c r="AA106" s="227"/>
      <c r="AB106" s="227"/>
      <c r="AC106" s="201"/>
      <c r="AD106" s="91"/>
      <c r="AF106" s="157"/>
      <c r="AG106" s="158"/>
      <c r="AH106" s="168"/>
      <c r="AI106" s="160"/>
      <c r="AK106" s="157"/>
      <c r="AL106" s="158"/>
      <c r="AM106" s="266"/>
      <c r="AN106" s="160"/>
      <c r="AP106" s="333"/>
      <c r="AQ106" s="336"/>
      <c r="AR106" s="300"/>
      <c r="AS106" s="160"/>
      <c r="AU106" s="126" t="s">
        <v>390</v>
      </c>
      <c r="AV106" s="137"/>
      <c r="AW106" s="149">
        <v>48.28</v>
      </c>
      <c r="AX106" s="143">
        <v>553.2604222914453</v>
      </c>
    </row>
    <row r="107" spans="2:50" s="94" customFormat="1" ht="12.75">
      <c r="B107" s="157"/>
      <c r="C107" s="158"/>
      <c r="D107" s="159"/>
      <c r="E107" s="160"/>
      <c r="G107" s="243" t="s">
        <v>253</v>
      </c>
      <c r="H107" s="137"/>
      <c r="I107" s="324">
        <v>2.28</v>
      </c>
      <c r="J107" s="164">
        <v>81115.33333333333</v>
      </c>
      <c r="Q107" s="92"/>
      <c r="R107" s="92"/>
      <c r="S107" s="230"/>
      <c r="T107" s="91"/>
      <c r="V107" s="256" t="s">
        <v>253</v>
      </c>
      <c r="W107" s="309"/>
      <c r="X107" s="330">
        <v>3.53</v>
      </c>
      <c r="Y107" s="252">
        <v>874277</v>
      </c>
      <c r="AA107" s="92"/>
      <c r="AB107" s="92"/>
      <c r="AC107" s="230"/>
      <c r="AD107" s="91"/>
      <c r="AK107" s="92"/>
      <c r="AL107" s="92"/>
      <c r="AM107" s="201"/>
      <c r="AN107" s="91"/>
      <c r="AP107" s="227"/>
      <c r="AQ107" s="227"/>
      <c r="AR107" s="201"/>
      <c r="AS107" s="91"/>
      <c r="AU107" s="170" t="s">
        <v>391</v>
      </c>
      <c r="AV107" s="156"/>
      <c r="AW107" s="149">
        <v>48.28</v>
      </c>
      <c r="AX107" s="143">
        <v>698.7737900000501</v>
      </c>
    </row>
    <row r="108" spans="7:50" ht="12.75">
      <c r="G108" s="157"/>
      <c r="H108" s="158"/>
      <c r="I108" s="322"/>
      <c r="J108" s="160"/>
      <c r="Q108" s="244"/>
      <c r="R108" s="244"/>
      <c r="S108" s="244"/>
      <c r="T108" s="244"/>
      <c r="V108" s="247"/>
      <c r="W108" s="248"/>
      <c r="X108" s="249"/>
      <c r="Y108" s="250"/>
      <c r="AA108" s="244"/>
      <c r="AB108" s="244"/>
      <c r="AC108" s="244"/>
      <c r="AD108" s="244"/>
      <c r="AK108" s="105"/>
      <c r="AL108" s="105"/>
      <c r="AM108" s="105"/>
      <c r="AN108" s="105"/>
      <c r="AU108" s="170" t="s">
        <v>392</v>
      </c>
      <c r="AV108" s="156"/>
      <c r="AW108" s="149">
        <v>48.28</v>
      </c>
      <c r="AX108" s="143">
        <v>1382.8369777465828</v>
      </c>
    </row>
    <row r="109" spans="27:50" ht="12.75">
      <c r="AA109" s="203"/>
      <c r="AU109" s="170" t="s">
        <v>393</v>
      </c>
      <c r="AV109" s="156"/>
      <c r="AW109" s="149">
        <v>14.32</v>
      </c>
      <c r="AX109" s="143">
        <v>1775.3127082720712</v>
      </c>
    </row>
    <row r="110" spans="47:50" ht="12.75">
      <c r="AU110" s="170" t="s">
        <v>396</v>
      </c>
      <c r="AV110" s="156"/>
      <c r="AW110" s="140">
        <v>12.81</v>
      </c>
      <c r="AX110" s="141">
        <v>45318.28727556596</v>
      </c>
    </row>
    <row r="111" spans="47:50" ht="12.75">
      <c r="AU111" s="170" t="s">
        <v>399</v>
      </c>
      <c r="AV111" s="156"/>
      <c r="AW111" s="167">
        <v>2.43</v>
      </c>
      <c r="AX111" s="164">
        <v>22644</v>
      </c>
    </row>
    <row r="112" spans="47:50" ht="12.75">
      <c r="AU112" s="157"/>
      <c r="AV112" s="158"/>
      <c r="AW112" s="159"/>
      <c r="AX112" s="160"/>
    </row>
    <row r="113" spans="2:50" s="94" customFormat="1" ht="12.75">
      <c r="B113" s="217" t="s">
        <v>451</v>
      </c>
      <c r="C113" s="182"/>
      <c r="D113" s="219">
        <f>SUMPRODUCT(D95:D111,E95:E111)</f>
        <v>834960.87</v>
      </c>
      <c r="G113" s="217" t="s">
        <v>451</v>
      </c>
      <c r="H113" s="182"/>
      <c r="I113" s="219">
        <f>SUMPRODUCT(I95:I111,J95:J111)</f>
        <v>7024100.373207179</v>
      </c>
      <c r="L113" s="217" t="s">
        <v>451</v>
      </c>
      <c r="M113" s="182"/>
      <c r="N113" s="219">
        <f>SUMPRODUCT(N95:N111,O95:O111)</f>
        <v>47649308</v>
      </c>
      <c r="Q113" s="217" t="s">
        <v>451</v>
      </c>
      <c r="R113" s="182"/>
      <c r="S113" s="219">
        <f>SUMPRODUCT(S95:S111,T95:T111)</f>
        <v>1528889.91</v>
      </c>
      <c r="V113" s="217" t="s">
        <v>451</v>
      </c>
      <c r="W113" s="182"/>
      <c r="X113" s="219">
        <f>SUMPRODUCT(X95:X111,Y95:Y111)</f>
        <v>88821947.31</v>
      </c>
      <c r="AA113" s="217" t="s">
        <v>451</v>
      </c>
      <c r="AB113" s="182"/>
      <c r="AC113" s="219">
        <f>SUMPRODUCT(AC95:AC111,AD95:AD111)</f>
        <v>2113441.165813888</v>
      </c>
      <c r="AF113" s="217" t="s">
        <v>451</v>
      </c>
      <c r="AG113" s="182"/>
      <c r="AH113" s="219">
        <f>SUMPRODUCT(AH95:AH111,AI95:AI111)</f>
        <v>60921936.87309592</v>
      </c>
      <c r="AK113" s="217" t="s">
        <v>451</v>
      </c>
      <c r="AL113" s="182"/>
      <c r="AM113" s="219">
        <f>SUMPRODUCT(AM96:AM111,AN96:AN111)</f>
        <v>335188.92</v>
      </c>
      <c r="AP113" s="217" t="s">
        <v>451</v>
      </c>
      <c r="AQ113" s="182"/>
      <c r="AR113" s="219">
        <f>SUMPRODUCT(AR96:AR111,AS96:AS111)</f>
        <v>867901.21</v>
      </c>
      <c r="AU113" s="217" t="s">
        <v>451</v>
      </c>
      <c r="AV113" s="182"/>
      <c r="AW113" s="219">
        <f>SUMPRODUCT(AW95:AW111,AX95:AX111)</f>
        <v>1258919.706573065</v>
      </c>
      <c r="AX113" s="91"/>
    </row>
    <row r="114" ht="12.75">
      <c r="AU114" s="203"/>
    </row>
    <row r="115" spans="1:12" s="199" customFormat="1" ht="12.75">
      <c r="A115" s="199" t="s">
        <v>471</v>
      </c>
      <c r="B115" s="83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</row>
    <row r="116" s="94" customFormat="1" ht="12.75"/>
    <row r="117" spans="2:47" s="94" customFormat="1" ht="12.75">
      <c r="B117" s="171" t="s">
        <v>146</v>
      </c>
      <c r="G117" s="171" t="s">
        <v>29</v>
      </c>
      <c r="L117" s="171" t="s">
        <v>147</v>
      </c>
      <c r="Q117" s="171" t="s">
        <v>288</v>
      </c>
      <c r="V117" s="171" t="s">
        <v>148</v>
      </c>
      <c r="AA117" s="171" t="s">
        <v>149</v>
      </c>
      <c r="AF117" s="171" t="s">
        <v>150</v>
      </c>
      <c r="AK117" s="171" t="s">
        <v>195</v>
      </c>
      <c r="AP117" s="171" t="s">
        <v>151</v>
      </c>
      <c r="AU117" s="171" t="s">
        <v>30</v>
      </c>
    </row>
    <row r="118" spans="2:50" s="94" customFormat="1" ht="12.75">
      <c r="B118" s="181"/>
      <c r="C118" s="182"/>
      <c r="D118" s="183" t="s">
        <v>402</v>
      </c>
      <c r="E118" s="184" t="s">
        <v>403</v>
      </c>
      <c r="G118" s="181"/>
      <c r="H118" s="182"/>
      <c r="I118" s="183" t="s">
        <v>402</v>
      </c>
      <c r="J118" s="184" t="s">
        <v>403</v>
      </c>
      <c r="L118" s="181"/>
      <c r="M118" s="182"/>
      <c r="N118" s="183" t="s">
        <v>402</v>
      </c>
      <c r="O118" s="184" t="s">
        <v>403</v>
      </c>
      <c r="Q118" s="316"/>
      <c r="R118" s="220"/>
      <c r="S118" s="183" t="s">
        <v>402</v>
      </c>
      <c r="T118" s="184" t="s">
        <v>403</v>
      </c>
      <c r="V118" s="181"/>
      <c r="W118" s="182"/>
      <c r="X118" s="183" t="s">
        <v>402</v>
      </c>
      <c r="Y118" s="184" t="s">
        <v>403</v>
      </c>
      <c r="AA118" s="181"/>
      <c r="AB118" s="182"/>
      <c r="AC118" s="183" t="s">
        <v>402</v>
      </c>
      <c r="AD118" s="184" t="s">
        <v>403</v>
      </c>
      <c r="AF118" s="181"/>
      <c r="AG118" s="182"/>
      <c r="AH118" s="183" t="s">
        <v>402</v>
      </c>
      <c r="AI118" s="184" t="s">
        <v>403</v>
      </c>
      <c r="AK118" s="181"/>
      <c r="AL118" s="182"/>
      <c r="AM118" s="183" t="s">
        <v>402</v>
      </c>
      <c r="AN118" s="184" t="s">
        <v>403</v>
      </c>
      <c r="AP118" s="181"/>
      <c r="AQ118" s="182"/>
      <c r="AR118" s="183" t="s">
        <v>402</v>
      </c>
      <c r="AS118" s="184" t="s">
        <v>403</v>
      </c>
      <c r="AU118" s="181"/>
      <c r="AV118" s="182"/>
      <c r="AW118" s="183" t="s">
        <v>402</v>
      </c>
      <c r="AX118" s="184" t="s">
        <v>403</v>
      </c>
    </row>
    <row r="119" spans="2:50" s="94" customFormat="1" ht="12.75">
      <c r="B119" s="175" t="s">
        <v>404</v>
      </c>
      <c r="C119" s="96"/>
      <c r="D119" s="185">
        <f>D106</f>
        <v>4.59</v>
      </c>
      <c r="E119" s="186">
        <f>E106</f>
        <v>21440</v>
      </c>
      <c r="G119" s="175" t="s">
        <v>404</v>
      </c>
      <c r="H119" s="96"/>
      <c r="I119" s="185">
        <f>I107</f>
        <v>2.28</v>
      </c>
      <c r="J119" s="186">
        <f>J107</f>
        <v>81115.33333333333</v>
      </c>
      <c r="L119" s="175" t="s">
        <v>404</v>
      </c>
      <c r="M119" s="96"/>
      <c r="N119" s="185">
        <f>N103</f>
        <v>8.551764331885133</v>
      </c>
      <c r="O119" s="186">
        <f>O103</f>
        <v>726649</v>
      </c>
      <c r="Q119" s="175" t="s">
        <v>404</v>
      </c>
      <c r="R119" s="96"/>
      <c r="S119" s="185">
        <f>S101</f>
        <v>3.53</v>
      </c>
      <c r="T119" s="186">
        <f>T101</f>
        <v>14987</v>
      </c>
      <c r="V119" s="175" t="s">
        <v>404</v>
      </c>
      <c r="W119" s="96"/>
      <c r="X119" s="185">
        <f>X107</f>
        <v>3.53</v>
      </c>
      <c r="Y119" s="186">
        <f>Y107</f>
        <v>874277</v>
      </c>
      <c r="AA119" s="175" t="s">
        <v>404</v>
      </c>
      <c r="AB119" s="96"/>
      <c r="AC119" s="185">
        <f>AC101</f>
        <v>6.6</v>
      </c>
      <c r="AD119" s="186">
        <f>AD101</f>
        <v>40214.5</v>
      </c>
      <c r="AE119" s="335"/>
      <c r="AF119" s="175" t="s">
        <v>404</v>
      </c>
      <c r="AG119" s="96"/>
      <c r="AH119" s="185">
        <f>AH105</f>
        <v>8.4</v>
      </c>
      <c r="AI119" s="186">
        <f>AI105</f>
        <v>713241</v>
      </c>
      <c r="AK119" s="175" t="s">
        <v>404</v>
      </c>
      <c r="AL119" s="96"/>
      <c r="AM119" s="185">
        <f>AM105</f>
        <v>2.28</v>
      </c>
      <c r="AN119" s="186">
        <f>AN105</f>
        <v>8347</v>
      </c>
      <c r="AP119" s="175" t="s">
        <v>404</v>
      </c>
      <c r="AQ119" s="96"/>
      <c r="AR119" s="185">
        <f>AR105</f>
        <v>10.5</v>
      </c>
      <c r="AS119" s="186">
        <f>AS105</f>
        <v>17296</v>
      </c>
      <c r="AU119" s="175" t="s">
        <v>404</v>
      </c>
      <c r="AV119" s="96"/>
      <c r="AW119" s="185">
        <f>AW111</f>
        <v>2.43</v>
      </c>
      <c r="AX119" s="186">
        <f>AX111</f>
        <v>22644</v>
      </c>
    </row>
    <row r="120" spans="2:50" s="94" customFormat="1" ht="12.75">
      <c r="B120" s="175" t="s">
        <v>405</v>
      </c>
      <c r="C120" s="96"/>
      <c r="D120" s="187">
        <f>D104</f>
        <v>13.14</v>
      </c>
      <c r="E120" s="188">
        <f>E104+E105</f>
        <v>49054</v>
      </c>
      <c r="G120" s="175" t="s">
        <v>405</v>
      </c>
      <c r="H120" s="96"/>
      <c r="I120" s="187">
        <f>I105</f>
        <v>21.96</v>
      </c>
      <c r="J120" s="188">
        <f>J105+J106</f>
        <v>187350.65083333338</v>
      </c>
      <c r="L120" s="175" t="s">
        <v>405</v>
      </c>
      <c r="M120" s="96"/>
      <c r="N120" s="187">
        <f>(N101*O101+N102*O102)/(O101+O102)</f>
        <v>19.420551565362466</v>
      </c>
      <c r="O120" s="188">
        <f>O101+O102</f>
        <v>1766882.4124027686</v>
      </c>
      <c r="Q120" s="175" t="s">
        <v>405</v>
      </c>
      <c r="R120" s="96"/>
      <c r="S120" s="187">
        <f>(S99*T99+S100*T100)/(T99+T100)</f>
        <v>29.199999999999996</v>
      </c>
      <c r="T120" s="188">
        <f>T99+T100</f>
        <v>44399</v>
      </c>
      <c r="V120" s="175" t="s">
        <v>405</v>
      </c>
      <c r="W120" s="96"/>
      <c r="X120" s="187">
        <f>(X106*Y106+X105*Y105)/(Y105+Y106)</f>
        <v>29.200000000000003</v>
      </c>
      <c r="Y120" s="188">
        <f>Y105+Y106</f>
        <v>2357951</v>
      </c>
      <c r="AA120" s="175" t="s">
        <v>405</v>
      </c>
      <c r="AB120" s="96"/>
      <c r="AC120" s="187">
        <f>AC99</f>
        <v>13.8</v>
      </c>
      <c r="AD120" s="188">
        <f>AD99+AD100</f>
        <v>95165.14675916571</v>
      </c>
      <c r="AE120" s="335"/>
      <c r="AF120" s="175" t="s">
        <v>405</v>
      </c>
      <c r="AG120" s="96"/>
      <c r="AH120" s="187">
        <f>AH103</f>
        <v>15.96</v>
      </c>
      <c r="AI120" s="188">
        <f>AI103+AI104</f>
        <v>2635276.1177361207</v>
      </c>
      <c r="AK120" s="175" t="s">
        <v>405</v>
      </c>
      <c r="AL120" s="96"/>
      <c r="AM120" s="187">
        <f>AM103</f>
        <v>7.56</v>
      </c>
      <c r="AN120" s="188">
        <f>AN103+AN104</f>
        <v>35091</v>
      </c>
      <c r="AP120" s="175" t="s">
        <v>405</v>
      </c>
      <c r="AQ120" s="96"/>
      <c r="AR120" s="187">
        <f>AR103</f>
        <v>21.1</v>
      </c>
      <c r="AS120" s="188">
        <f>AS103+AS104</f>
        <v>29252.6</v>
      </c>
      <c r="AU120" s="175" t="s">
        <v>405</v>
      </c>
      <c r="AV120" s="96"/>
      <c r="AW120" s="187">
        <f>AW110</f>
        <v>12.81</v>
      </c>
      <c r="AX120" s="188">
        <f>AX110</f>
        <v>45318.28727556596</v>
      </c>
    </row>
    <row r="121" spans="2:50" s="94" customFormat="1" ht="12.75">
      <c r="B121" s="175" t="s">
        <v>406</v>
      </c>
      <c r="C121" s="96"/>
      <c r="D121" s="189">
        <f>D102</f>
        <v>13.14</v>
      </c>
      <c r="E121" s="190">
        <f>E102+E103</f>
        <v>1570</v>
      </c>
      <c r="G121" s="175" t="s">
        <v>406</v>
      </c>
      <c r="H121" s="96"/>
      <c r="I121" s="189">
        <f>I102</f>
        <v>36.24</v>
      </c>
      <c r="J121" s="190">
        <f>J103+J104</f>
        <v>7671.725833333333</v>
      </c>
      <c r="L121" s="175" t="s">
        <v>406</v>
      </c>
      <c r="M121" s="96"/>
      <c r="N121" s="189">
        <f>(N99*O99+N100*O100)/(O99+O100)</f>
        <v>39.02463723237588</v>
      </c>
      <c r="O121" s="190">
        <f>O99+O100</f>
        <v>65706.87601094936</v>
      </c>
      <c r="Q121" s="175" t="s">
        <v>406</v>
      </c>
      <c r="R121" s="96"/>
      <c r="S121" s="189">
        <f>S98</f>
        <v>33.3</v>
      </c>
      <c r="T121" s="190">
        <f>T98</f>
        <v>1530</v>
      </c>
      <c r="V121" s="175" t="s">
        <v>406</v>
      </c>
      <c r="W121" s="96"/>
      <c r="X121" s="189">
        <f>(X104*Y104+X103*Y103)/(Y103+Y104)</f>
        <v>33.3</v>
      </c>
      <c r="Y121" s="190">
        <f>Y103+Y104</f>
        <v>63442</v>
      </c>
      <c r="AA121" s="175" t="s">
        <v>406</v>
      </c>
      <c r="AB121" s="96"/>
      <c r="AC121" s="189">
        <f>AC97</f>
        <v>13.8</v>
      </c>
      <c r="AD121" s="190">
        <f>AD97+AD98</f>
        <v>2922.9804776196197</v>
      </c>
      <c r="AE121" s="335"/>
      <c r="AF121" s="175" t="s">
        <v>406</v>
      </c>
      <c r="AG121" s="96"/>
      <c r="AH121" s="189">
        <f>(AH101*AI101+AH102*AI102)/(AI101+AI102)</f>
        <v>26.183136327797904</v>
      </c>
      <c r="AI121" s="190">
        <f>AI101+AI102</f>
        <v>109906.48324174318</v>
      </c>
      <c r="AK121" s="175" t="s">
        <v>406</v>
      </c>
      <c r="AL121" s="96"/>
      <c r="AM121" s="189">
        <f>(AM101*AN101+AM102*AN102)/(AN101+AN102)</f>
        <v>7.56</v>
      </c>
      <c r="AN121" s="190">
        <f>AN101+AN102</f>
        <v>1870</v>
      </c>
      <c r="AP121" s="175" t="s">
        <v>406</v>
      </c>
      <c r="AQ121" s="96"/>
      <c r="AR121" s="189">
        <f>(AR101*AS101+AR102*AS102)/(AS101+AS102)</f>
        <v>34.5</v>
      </c>
      <c r="AS121" s="190">
        <f>AS101+AS102</f>
        <v>1084.5</v>
      </c>
      <c r="AU121" s="175" t="s">
        <v>406</v>
      </c>
      <c r="AV121" s="96"/>
      <c r="AW121" s="189">
        <f>SUMPRODUCT(AW106:AW109,AX106:AX109)/SUM(AX106:AX109)</f>
        <v>34.60945451639313</v>
      </c>
      <c r="AX121" s="190">
        <f>SUM(AX106:AX109)</f>
        <v>4410.18389831015</v>
      </c>
    </row>
    <row r="122" spans="2:50" s="94" customFormat="1" ht="12.75">
      <c r="B122" s="175" t="s">
        <v>394</v>
      </c>
      <c r="C122" s="96"/>
      <c r="D122" s="191">
        <f>(D101*E101+D100*E100)/(E100+E101)</f>
        <v>123.33840725806449</v>
      </c>
      <c r="E122" s="192">
        <f>E101+E100</f>
        <v>496</v>
      </c>
      <c r="G122" s="175" t="s">
        <v>394</v>
      </c>
      <c r="H122" s="96"/>
      <c r="I122" s="191">
        <f>(I101*J101+I102*J102)/(J101+J102)</f>
        <v>120.34263424317619</v>
      </c>
      <c r="J122" s="192">
        <f>J102+J101</f>
        <v>1679.1666666666667</v>
      </c>
      <c r="L122" s="175" t="s">
        <v>394</v>
      </c>
      <c r="M122" s="96"/>
      <c r="N122" s="191">
        <f>(N97*O97+N98*O98)/(O97+O98)</f>
        <v>131.11339125880747</v>
      </c>
      <c r="O122" s="192">
        <f>O97+O98</f>
        <v>17128.136023627903</v>
      </c>
      <c r="Q122" s="175" t="s">
        <v>394</v>
      </c>
      <c r="R122" s="96"/>
      <c r="S122" s="191">
        <f>S97</f>
        <v>158</v>
      </c>
      <c r="T122" s="192">
        <f>T97</f>
        <v>285</v>
      </c>
      <c r="V122" s="175" t="s">
        <v>394</v>
      </c>
      <c r="W122" s="96"/>
      <c r="X122" s="191">
        <f>(X102*Y102+X101*Y101)/(Y101+Y102)</f>
        <v>158</v>
      </c>
      <c r="Y122" s="192">
        <f>Y101+Y102</f>
        <v>31578</v>
      </c>
      <c r="AA122" s="175" t="s">
        <v>394</v>
      </c>
      <c r="AB122" s="96"/>
      <c r="AC122" s="191">
        <f>AC96</f>
        <v>205.2</v>
      </c>
      <c r="AD122" s="192">
        <f>AD96</f>
        <v>739.7711606757068</v>
      </c>
      <c r="AE122" s="335"/>
      <c r="AF122" s="175" t="s">
        <v>394</v>
      </c>
      <c r="AG122" s="96"/>
      <c r="AH122" s="191">
        <f>(AH100*AI100+AH99*AI99)/(AI100+AI99)</f>
        <v>101.19402985074628</v>
      </c>
      <c r="AI122" s="192">
        <f>AI100+AI99</f>
        <v>13735</v>
      </c>
      <c r="AK122" s="175" t="s">
        <v>394</v>
      </c>
      <c r="AL122" s="96"/>
      <c r="AM122" s="191">
        <f>(AM100*AN100+AM99*AN99)/(AN100+AN99)</f>
        <v>31.741368078175892</v>
      </c>
      <c r="AN122" s="192">
        <f>AN100+AN99</f>
        <v>307</v>
      </c>
      <c r="AP122" s="175" t="s">
        <v>394</v>
      </c>
      <c r="AQ122" s="96"/>
      <c r="AR122" s="191">
        <f>(AR100*AS100+AR99*AS99)/(AS100+AS99)</f>
        <v>102.89874593590338</v>
      </c>
      <c r="AS122" s="192">
        <f>AS100+AS99</f>
        <v>215.3</v>
      </c>
      <c r="AU122" s="175" t="s">
        <v>394</v>
      </c>
      <c r="AV122" s="96"/>
      <c r="AW122" s="191">
        <f>SUMPRODUCT(AW100:AW105,AX100:AX105)/SUM(AX100:AX105)</f>
        <v>130.55038323098728</v>
      </c>
      <c r="AX122" s="192">
        <f>SUM(AX100:AX105)</f>
        <v>1042.4709068437282</v>
      </c>
    </row>
    <row r="123" spans="2:50" s="94" customFormat="1" ht="12.75">
      <c r="B123" s="175" t="s">
        <v>397</v>
      </c>
      <c r="C123" s="96"/>
      <c r="D123" s="193">
        <f>D99</f>
        <v>328.26</v>
      </c>
      <c r="E123" s="194">
        <f>E99</f>
        <v>31</v>
      </c>
      <c r="G123" s="175" t="s">
        <v>397</v>
      </c>
      <c r="H123" s="96"/>
      <c r="I123" s="193">
        <f>I100</f>
        <v>1045.44</v>
      </c>
      <c r="J123" s="194">
        <f>J100</f>
        <v>315.25</v>
      </c>
      <c r="L123" s="175" t="s">
        <v>397</v>
      </c>
      <c r="M123" s="96"/>
      <c r="N123" s="193">
        <f>(N95*O95+N96*O96)/(O95+O96)</f>
        <v>823.910927106233</v>
      </c>
      <c r="O123" s="194">
        <f>O95+O96</f>
        <v>2805.4379714543707</v>
      </c>
      <c r="Q123" s="175" t="s">
        <v>397</v>
      </c>
      <c r="R123" s="96"/>
      <c r="S123" s="193">
        <f>S96</f>
        <v>629</v>
      </c>
      <c r="T123" s="194">
        <f>T96</f>
        <v>73</v>
      </c>
      <c r="V123" s="175" t="s">
        <v>397</v>
      </c>
      <c r="W123" s="96"/>
      <c r="X123" s="193">
        <f>(X100*Y100+X99*Y99)/(Y99+Y100)</f>
        <v>674.9651357693597</v>
      </c>
      <c r="Y123" s="194">
        <f>Y99+Y100</f>
        <v>8949</v>
      </c>
      <c r="AA123" s="175" t="s">
        <v>397</v>
      </c>
      <c r="AB123" s="96"/>
      <c r="AC123" s="193">
        <f>AC95</f>
        <v>589.56</v>
      </c>
      <c r="AD123" s="194">
        <f>AD95</f>
        <v>581.1253609057519</v>
      </c>
      <c r="AE123" s="335"/>
      <c r="AF123" s="175" t="s">
        <v>397</v>
      </c>
      <c r="AG123" s="96"/>
      <c r="AH123" s="193">
        <f>AH98</f>
        <v>626.2090032154341</v>
      </c>
      <c r="AI123" s="194">
        <f>AI98</f>
        <v>11818</v>
      </c>
      <c r="AK123" s="175" t="s">
        <v>397</v>
      </c>
      <c r="AL123" s="96"/>
      <c r="AM123" s="193">
        <f>AM98</f>
        <v>978</v>
      </c>
      <c r="AN123" s="194">
        <f>AN98</f>
        <v>23</v>
      </c>
      <c r="AP123" s="175" t="s">
        <v>397</v>
      </c>
      <c r="AQ123" s="96"/>
      <c r="AR123" s="193">
        <f>(AR98*AS98+AR97)/(AS97+AS98)</f>
        <v>474.7</v>
      </c>
      <c r="AS123" s="194">
        <f>AS97+AS98</f>
        <v>20</v>
      </c>
      <c r="AU123" s="175" t="s">
        <v>397</v>
      </c>
      <c r="AV123" s="96"/>
      <c r="AW123" s="193">
        <f>SUMPRODUCT(AW96:AW99,AX96:AX99)/SUM(AX96:AX99)</f>
        <v>741.3246610410403</v>
      </c>
      <c r="AX123" s="194">
        <f>SUM(AX96:AX99)</f>
        <v>340.68443398765623</v>
      </c>
    </row>
    <row r="124" spans="2:50" s="94" customFormat="1" ht="12.75">
      <c r="B124" s="178" t="s">
        <v>400</v>
      </c>
      <c r="C124" s="195"/>
      <c r="D124" s="196"/>
      <c r="E124" s="197"/>
      <c r="G124" s="178" t="s">
        <v>400</v>
      </c>
      <c r="H124" s="195"/>
      <c r="I124" s="196">
        <f>(I95*J95+I96*J96+I97*J97+I98*J98)/SUM(J95:J98)</f>
        <v>51187.44258460163</v>
      </c>
      <c r="J124" s="197">
        <f>SUM(J95:J98)</f>
        <v>37.41666666666666</v>
      </c>
      <c r="L124" s="178" t="s">
        <v>400</v>
      </c>
      <c r="M124" s="195"/>
      <c r="N124" s="196"/>
      <c r="O124" s="197"/>
      <c r="Q124" s="178" t="s">
        <v>400</v>
      </c>
      <c r="R124" s="195"/>
      <c r="S124" s="196">
        <f>S95</f>
        <v>1981</v>
      </c>
      <c r="T124" s="197">
        <f>T95</f>
        <v>19</v>
      </c>
      <c r="V124" s="178" t="s">
        <v>400</v>
      </c>
      <c r="W124" s="195"/>
      <c r="X124" s="196">
        <f>(X97*Y97+X98*Y98+X96+X95)/(Y97+Y98+Y95+Y96)</f>
        <v>4068.967253586227</v>
      </c>
      <c r="Y124" s="197">
        <f>SUM(Y95:Y98)</f>
        <v>919.49</v>
      </c>
      <c r="AA124" s="178" t="s">
        <v>400</v>
      </c>
      <c r="AB124" s="195"/>
      <c r="AC124" s="196"/>
      <c r="AD124" s="197"/>
      <c r="AF124" s="178" t="s">
        <v>400</v>
      </c>
      <c r="AG124" s="195"/>
      <c r="AH124" s="196">
        <f>(AH95*AI95+AH96*AI96+AH97*AI97)/(AI95+AI96+AI97)</f>
        <v>7294.363636363636</v>
      </c>
      <c r="AI124" s="197">
        <f>AI95+AI96+AI97</f>
        <v>165</v>
      </c>
      <c r="AK124" s="178" t="s">
        <v>400</v>
      </c>
      <c r="AL124" s="195"/>
      <c r="AM124" s="196">
        <f>(AM95*AN95+AM96*AN96+AM97*AN97)/(AN95+AN96+AN97)</f>
        <v>2247</v>
      </c>
      <c r="AN124" s="197">
        <f>AN95+AN96+AN97</f>
        <v>2</v>
      </c>
      <c r="AP124" s="178" t="s">
        <v>400</v>
      </c>
      <c r="AQ124" s="195"/>
      <c r="AR124" s="196"/>
      <c r="AS124" s="197"/>
      <c r="AU124" s="178" t="s">
        <v>400</v>
      </c>
      <c r="AV124" s="195"/>
      <c r="AW124" s="196">
        <f>AW95</f>
        <v>4868.93</v>
      </c>
      <c r="AX124" s="197">
        <f>AX95</f>
        <v>16.858060927577267</v>
      </c>
    </row>
    <row r="125" spans="2:50" s="86" customFormat="1" ht="12.75">
      <c r="B125" s="223" t="s">
        <v>451</v>
      </c>
      <c r="C125" s="220"/>
      <c r="D125" s="222">
        <f>SUMPRODUCT(D119:D124,E119:E124)</f>
        <v>834960.8700000001</v>
      </c>
      <c r="E125" s="221"/>
      <c r="G125" s="223" t="s">
        <v>451</v>
      </c>
      <c r="H125" s="220"/>
      <c r="I125" s="222">
        <f>SUMPRODUCT(I119:I124,J119:J124)</f>
        <v>7024100.373207179</v>
      </c>
      <c r="J125" s="221"/>
      <c r="L125" s="223" t="s">
        <v>451</v>
      </c>
      <c r="M125" s="220"/>
      <c r="N125" s="222">
        <f>SUMPRODUCT(N119:N124,O119:O124)</f>
        <v>47649308</v>
      </c>
      <c r="O125" s="221"/>
      <c r="Q125" s="223" t="s">
        <v>451</v>
      </c>
      <c r="R125" s="220"/>
      <c r="S125" s="222">
        <f>SUMPRODUCT(S119:S124,T119:T124)</f>
        <v>1528889.91</v>
      </c>
      <c r="T125" s="221"/>
      <c r="V125" s="223" t="s">
        <v>451</v>
      </c>
      <c r="W125" s="220"/>
      <c r="X125" s="222">
        <f>SUMPRODUCT(X119:X124,Y119:Y124)</f>
        <v>88821947.31</v>
      </c>
      <c r="Y125" s="221"/>
      <c r="AA125" s="223" t="s">
        <v>451</v>
      </c>
      <c r="AB125" s="220"/>
      <c r="AC125" s="222">
        <f>SUMPRODUCT(AC119:AC124,AD119:AD124)</f>
        <v>2113441.165813888</v>
      </c>
      <c r="AD125" s="221"/>
      <c r="AF125" s="223" t="s">
        <v>451</v>
      </c>
      <c r="AG125" s="220"/>
      <c r="AH125" s="222">
        <f>SUMPRODUCT(AH119:AH124,AI119:AI124)</f>
        <v>60921935.67309588</v>
      </c>
      <c r="AI125" s="221"/>
      <c r="AK125" s="223" t="s">
        <v>451</v>
      </c>
      <c r="AL125" s="220"/>
      <c r="AM125" s="222">
        <f>SUMPRODUCT(AM119:AM124,AN119:AN124)</f>
        <v>335188.9199999999</v>
      </c>
      <c r="AN125" s="221"/>
      <c r="AP125" s="223" t="s">
        <v>451</v>
      </c>
      <c r="AQ125" s="220"/>
      <c r="AR125" s="222">
        <f>SUMPRODUCT(AR119:AR124,AS119:AS124)</f>
        <v>867901.21</v>
      </c>
      <c r="AS125" s="221"/>
      <c r="AU125" s="223" t="s">
        <v>451</v>
      </c>
      <c r="AV125" s="220"/>
      <c r="AW125" s="222">
        <f>SUMPRODUCT(AW119:AW124,AX119:AX124)</f>
        <v>1258919.7065730647</v>
      </c>
      <c r="AX125" s="221"/>
    </row>
    <row r="126" spans="2:50" s="86" customFormat="1" ht="12.75">
      <c r="B126" s="31"/>
      <c r="C126" s="31"/>
      <c r="D126" s="202"/>
      <c r="E126" s="116"/>
      <c r="G126" s="31"/>
      <c r="H126" s="31"/>
      <c r="I126" s="202"/>
      <c r="J126" s="116"/>
      <c r="L126" s="31"/>
      <c r="M126" s="31"/>
      <c r="N126" s="202"/>
      <c r="O126" s="116"/>
      <c r="Q126" s="31"/>
      <c r="R126" s="31"/>
      <c r="S126" s="202"/>
      <c r="T126" s="116"/>
      <c r="V126" s="31"/>
      <c r="W126" s="31"/>
      <c r="X126" s="202"/>
      <c r="Y126" s="116"/>
      <c r="AA126" s="31"/>
      <c r="AB126" s="31"/>
      <c r="AC126" s="202"/>
      <c r="AD126" s="116"/>
      <c r="AF126" s="31"/>
      <c r="AG126" s="31"/>
      <c r="AH126" s="202"/>
      <c r="AI126" s="116"/>
      <c r="AK126" s="31"/>
      <c r="AL126" s="31"/>
      <c r="AM126" s="202"/>
      <c r="AN126" s="116"/>
      <c r="AP126" s="31"/>
      <c r="AQ126" s="31"/>
      <c r="AR126" s="202"/>
      <c r="AS126" s="116"/>
      <c r="AU126" s="31"/>
      <c r="AV126" s="31"/>
      <c r="AW126" s="202"/>
      <c r="AX126" s="116"/>
    </row>
    <row r="127" spans="1:12" s="199" customFormat="1" ht="12.75">
      <c r="A127" s="199" t="s">
        <v>94</v>
      </c>
      <c r="B127" s="83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</row>
    <row r="128" spans="1:20" ht="12.75">
      <c r="A128" s="205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1:20" ht="12.75">
      <c r="A129" s="205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2:47" s="94" customFormat="1" ht="15.75">
      <c r="B130" s="122" t="s">
        <v>146</v>
      </c>
      <c r="G130" s="122" t="s">
        <v>29</v>
      </c>
      <c r="L130" s="122" t="s">
        <v>147</v>
      </c>
      <c r="Q130" s="122" t="s">
        <v>288</v>
      </c>
      <c r="S130" s="95" t="s">
        <v>442</v>
      </c>
      <c r="V130" s="122" t="s">
        <v>148</v>
      </c>
      <c r="AA130" s="122" t="s">
        <v>149</v>
      </c>
      <c r="AF130" s="122" t="s">
        <v>150</v>
      </c>
      <c r="AK130" s="122" t="s">
        <v>195</v>
      </c>
      <c r="AP130" s="122" t="s">
        <v>151</v>
      </c>
      <c r="AU130" s="123" t="s">
        <v>30</v>
      </c>
    </row>
    <row r="131" spans="2:50" s="94" customFormat="1" ht="12.75">
      <c r="B131" s="124" t="s">
        <v>252</v>
      </c>
      <c r="C131" s="125"/>
      <c r="D131" s="124" t="s">
        <v>402</v>
      </c>
      <c r="E131" s="124" t="s">
        <v>403</v>
      </c>
      <c r="G131" s="124" t="s">
        <v>252</v>
      </c>
      <c r="H131" s="125"/>
      <c r="I131" s="183" t="s">
        <v>402</v>
      </c>
      <c r="J131" s="184" t="s">
        <v>403</v>
      </c>
      <c r="L131" s="225" t="s">
        <v>252</v>
      </c>
      <c r="M131" s="226"/>
      <c r="N131" s="183" t="s">
        <v>402</v>
      </c>
      <c r="O131" s="184" t="s">
        <v>403</v>
      </c>
      <c r="Q131" s="124"/>
      <c r="R131" s="125"/>
      <c r="S131" s="183"/>
      <c r="T131" s="184"/>
      <c r="V131" s="124" t="s">
        <v>252</v>
      </c>
      <c r="W131" s="125"/>
      <c r="X131" s="183" t="s">
        <v>402</v>
      </c>
      <c r="Y131" s="184" t="s">
        <v>403</v>
      </c>
      <c r="AA131" s="225" t="s">
        <v>252</v>
      </c>
      <c r="AB131" s="226"/>
      <c r="AC131" s="183" t="s">
        <v>402</v>
      </c>
      <c r="AD131" s="184" t="s">
        <v>403</v>
      </c>
      <c r="AF131" s="124" t="s">
        <v>252</v>
      </c>
      <c r="AG131" s="125"/>
      <c r="AH131" s="183" t="s">
        <v>402</v>
      </c>
      <c r="AI131" s="184" t="s">
        <v>403</v>
      </c>
      <c r="AK131" s="124"/>
      <c r="AL131" s="125"/>
      <c r="AM131" s="183" t="s">
        <v>187</v>
      </c>
      <c r="AN131" s="184" t="s">
        <v>188</v>
      </c>
      <c r="AP131" s="124" t="s">
        <v>252</v>
      </c>
      <c r="AQ131" s="125"/>
      <c r="AR131" s="183" t="s">
        <v>402</v>
      </c>
      <c r="AS131" s="184" t="s">
        <v>403</v>
      </c>
      <c r="AU131" s="124" t="s">
        <v>252</v>
      </c>
      <c r="AV131" s="125"/>
      <c r="AW131" s="183" t="s">
        <v>402</v>
      </c>
      <c r="AX131" s="184" t="s">
        <v>403</v>
      </c>
    </row>
    <row r="132" spans="2:50" s="94" customFormat="1" ht="12.75">
      <c r="B132" s="126"/>
      <c r="C132" s="127"/>
      <c r="D132" s="128"/>
      <c r="E132" s="129"/>
      <c r="G132" s="216" t="s">
        <v>428</v>
      </c>
      <c r="H132" s="127"/>
      <c r="I132" s="135">
        <v>135051.8091666667</v>
      </c>
      <c r="J132" s="136">
        <v>12</v>
      </c>
      <c r="L132" s="172" t="s">
        <v>293</v>
      </c>
      <c r="M132" s="127"/>
      <c r="N132" s="130">
        <v>7.727205275273999</v>
      </c>
      <c r="O132" s="131">
        <v>640309.9159061172</v>
      </c>
      <c r="Q132" s="126"/>
      <c r="R132" s="127"/>
      <c r="S132" s="128"/>
      <c r="T132" s="129"/>
      <c r="V132" s="254" t="s">
        <v>229</v>
      </c>
      <c r="W132" s="231"/>
      <c r="X132" s="246">
        <v>66954.54545454546</v>
      </c>
      <c r="Y132" s="136">
        <v>22</v>
      </c>
      <c r="AA132" s="172" t="s">
        <v>291</v>
      </c>
      <c r="AB132" s="127"/>
      <c r="AC132" s="128"/>
      <c r="AD132" s="129"/>
      <c r="AF132" s="132" t="s">
        <v>295</v>
      </c>
      <c r="AG132" s="231"/>
      <c r="AH132" s="258">
        <v>16.289424657534248</v>
      </c>
      <c r="AI132" s="134">
        <v>2646051.5</v>
      </c>
      <c r="AK132" s="254" t="s">
        <v>229</v>
      </c>
      <c r="AL132" s="127"/>
      <c r="AM132" s="135">
        <v>1827</v>
      </c>
      <c r="AN132" s="136">
        <v>1</v>
      </c>
      <c r="AP132" s="126" t="s">
        <v>316</v>
      </c>
      <c r="AQ132" s="137"/>
      <c r="AR132" s="146">
        <v>1334.42</v>
      </c>
      <c r="AS132" s="147">
        <v>1</v>
      </c>
      <c r="AU132" s="126" t="s">
        <v>297</v>
      </c>
      <c r="AV132" s="127"/>
      <c r="AW132" s="135">
        <v>4960.083333333333</v>
      </c>
      <c r="AX132" s="136">
        <v>17.442821855633813</v>
      </c>
    </row>
    <row r="133" spans="2:50" s="94" customFormat="1" ht="12.75">
      <c r="B133" s="126"/>
      <c r="C133" s="137"/>
      <c r="D133" s="138"/>
      <c r="E133" s="139"/>
      <c r="G133" s="216" t="s">
        <v>429</v>
      </c>
      <c r="H133" s="137"/>
      <c r="I133" s="144"/>
      <c r="J133" s="145">
        <v>0</v>
      </c>
      <c r="L133" s="175" t="s">
        <v>439</v>
      </c>
      <c r="M133" s="137"/>
      <c r="N133" s="140">
        <v>19.98837929711354</v>
      </c>
      <c r="O133" s="141">
        <v>1842085.481403543</v>
      </c>
      <c r="Q133" s="126"/>
      <c r="R133" s="137"/>
      <c r="S133" s="138"/>
      <c r="T133" s="139"/>
      <c r="V133" s="215" t="s">
        <v>235</v>
      </c>
      <c r="W133" s="227"/>
      <c r="X133" s="233">
        <v>43315.78947368421</v>
      </c>
      <c r="Y133" s="145">
        <v>19</v>
      </c>
      <c r="AA133" s="175" t="s">
        <v>237</v>
      </c>
      <c r="AB133" s="137"/>
      <c r="AC133" s="144">
        <v>0</v>
      </c>
      <c r="AD133" s="145"/>
      <c r="AF133" s="126" t="s">
        <v>300</v>
      </c>
      <c r="AG133" s="227"/>
      <c r="AH133" s="259">
        <v>25.159232876712323</v>
      </c>
      <c r="AI133" s="143">
        <v>77105</v>
      </c>
      <c r="AK133" s="215" t="s">
        <v>235</v>
      </c>
      <c r="AL133" s="137"/>
      <c r="AM133" s="144">
        <v>2752.25</v>
      </c>
      <c r="AN133" s="145">
        <v>1.1666666666666667</v>
      </c>
      <c r="AP133" s="126" t="s">
        <v>326</v>
      </c>
      <c r="AQ133" s="137"/>
      <c r="AR133" s="146">
        <v>450.4</v>
      </c>
      <c r="AS133" s="147">
        <v>19</v>
      </c>
      <c r="AU133" s="126" t="s">
        <v>302</v>
      </c>
      <c r="AV133" s="137"/>
      <c r="AW133" s="146">
        <v>1629.7375000000002</v>
      </c>
      <c r="AX133" s="147">
        <v>109.05401697046125</v>
      </c>
    </row>
    <row r="134" spans="2:50" s="94" customFormat="1" ht="12.75">
      <c r="B134" s="126"/>
      <c r="C134" s="137"/>
      <c r="D134" s="138"/>
      <c r="E134" s="139"/>
      <c r="G134" s="216" t="s">
        <v>430</v>
      </c>
      <c r="H134" s="137"/>
      <c r="I134" s="148">
        <v>7746.895000549451</v>
      </c>
      <c r="J134" s="145">
        <v>30.33333333333333</v>
      </c>
      <c r="L134" s="175" t="s">
        <v>440</v>
      </c>
      <c r="M134" s="137"/>
      <c r="N134" s="149">
        <v>40.652053102697984</v>
      </c>
      <c r="O134" s="143">
        <v>72828.10544699183</v>
      </c>
      <c r="Q134" s="126"/>
      <c r="R134" s="137"/>
      <c r="S134" s="144"/>
      <c r="T134" s="145"/>
      <c r="V134" s="215" t="s">
        <v>237</v>
      </c>
      <c r="W134" s="227"/>
      <c r="X134" s="233"/>
      <c r="Y134" s="145"/>
      <c r="AA134" s="175" t="s">
        <v>303</v>
      </c>
      <c r="AB134" s="137"/>
      <c r="AC134" s="144">
        <v>5423.960833319999</v>
      </c>
      <c r="AD134" s="145">
        <v>0.6816381001935198</v>
      </c>
      <c r="AF134" s="126" t="s">
        <v>308</v>
      </c>
      <c r="AG134" s="227"/>
      <c r="AH134" s="259">
        <v>30.549041095890423</v>
      </c>
      <c r="AI134" s="143">
        <v>36727</v>
      </c>
      <c r="AK134" s="215" t="s">
        <v>237</v>
      </c>
      <c r="AL134" s="137"/>
      <c r="AM134" s="144">
        <v>997.25</v>
      </c>
      <c r="AN134" s="145">
        <v>26.24597643519679</v>
      </c>
      <c r="AP134" s="126" t="s">
        <v>336</v>
      </c>
      <c r="AQ134" s="137"/>
      <c r="AR134" s="151">
        <v>153.3</v>
      </c>
      <c r="AS134" s="152">
        <v>122.14722222222221</v>
      </c>
      <c r="AU134" s="126" t="s">
        <v>310</v>
      </c>
      <c r="AV134" s="137"/>
      <c r="AW134" s="146">
        <v>630.6266666666667</v>
      </c>
      <c r="AX134" s="147">
        <v>5.179799740752156</v>
      </c>
    </row>
    <row r="135" spans="2:50" s="94" customFormat="1" ht="12.75">
      <c r="B135" s="126"/>
      <c r="C135" s="137"/>
      <c r="D135" s="138"/>
      <c r="E135" s="139"/>
      <c r="G135" s="216" t="s">
        <v>431</v>
      </c>
      <c r="H135" s="137"/>
      <c r="I135" s="148">
        <v>199340.33625000002</v>
      </c>
      <c r="J135" s="145">
        <v>1</v>
      </c>
      <c r="L135" s="175" t="s">
        <v>441</v>
      </c>
      <c r="M135" s="137"/>
      <c r="N135" s="149">
        <v>40.82</v>
      </c>
      <c r="O135" s="143">
        <v>7640.619059284664</v>
      </c>
      <c r="Q135" s="126"/>
      <c r="R135" s="137"/>
      <c r="S135" s="138"/>
      <c r="T135" s="139"/>
      <c r="V135" s="215" t="s">
        <v>238</v>
      </c>
      <c r="W135" s="227"/>
      <c r="X135" s="233"/>
      <c r="Y135" s="145"/>
      <c r="AA135" s="175" t="s">
        <v>314</v>
      </c>
      <c r="AB135" s="137"/>
      <c r="AC135" s="144">
        <v>1908.42</v>
      </c>
      <c r="AD135" s="145">
        <v>4.004720824209326</v>
      </c>
      <c r="AF135" s="126" t="s">
        <v>443</v>
      </c>
      <c r="AG135" s="227"/>
      <c r="AH135" s="260">
        <v>30.54904109589042</v>
      </c>
      <c r="AI135" s="152">
        <v>1870</v>
      </c>
      <c r="AK135" s="215" t="s">
        <v>238</v>
      </c>
      <c r="AL135" s="137"/>
      <c r="AM135" s="144">
        <v>57.5</v>
      </c>
      <c r="AN135" s="145">
        <v>150.88034782608693</v>
      </c>
      <c r="AP135" s="126" t="s">
        <v>345</v>
      </c>
      <c r="AQ135" s="137"/>
      <c r="AR135" s="151">
        <v>34.78</v>
      </c>
      <c r="AS135" s="152">
        <v>105.31944444444444</v>
      </c>
      <c r="AU135" s="126" t="s">
        <v>317</v>
      </c>
      <c r="AV135" s="137"/>
      <c r="AW135" s="146">
        <v>541.3558333333333</v>
      </c>
      <c r="AX135" s="147">
        <v>100.18328953244674</v>
      </c>
    </row>
    <row r="136" spans="2:50" s="94" customFormat="1" ht="12.75">
      <c r="B136" s="126" t="s">
        <v>318</v>
      </c>
      <c r="C136" s="137"/>
      <c r="D136" s="146">
        <v>365.64</v>
      </c>
      <c r="E136" s="147">
        <v>31</v>
      </c>
      <c r="G136" s="216" t="s">
        <v>397</v>
      </c>
      <c r="H136" s="137"/>
      <c r="I136" s="154">
        <v>1046.4306555671174</v>
      </c>
      <c r="J136" s="147">
        <v>320.3333333333333</v>
      </c>
      <c r="L136" s="175" t="s">
        <v>312</v>
      </c>
      <c r="M136" s="137"/>
      <c r="N136" s="151">
        <v>69.78134625774697</v>
      </c>
      <c r="O136" s="152">
        <v>10253.915385310629</v>
      </c>
      <c r="Q136" s="126"/>
      <c r="R136" s="137"/>
      <c r="S136" s="146"/>
      <c r="T136" s="147"/>
      <c r="V136" s="215" t="s">
        <v>239</v>
      </c>
      <c r="W136" s="227"/>
      <c r="X136" s="233">
        <v>9424.581005586591</v>
      </c>
      <c r="Y136" s="145">
        <v>179</v>
      </c>
      <c r="AA136" s="175" t="s">
        <v>323</v>
      </c>
      <c r="AB136" s="137"/>
      <c r="AC136" s="146">
        <v>628.7066301369863</v>
      </c>
      <c r="AD136" s="147">
        <v>586.4032998067258</v>
      </c>
      <c r="AF136" s="126" t="s">
        <v>315</v>
      </c>
      <c r="AG136" s="227"/>
      <c r="AH136" s="260">
        <v>109.86673972602743</v>
      </c>
      <c r="AI136" s="152">
        <v>8109</v>
      </c>
      <c r="AK136" s="215" t="s">
        <v>239</v>
      </c>
      <c r="AL136" s="137"/>
      <c r="AM136" s="144">
        <v>7.67</v>
      </c>
      <c r="AN136" s="145">
        <v>681.251629726206</v>
      </c>
      <c r="AP136" s="126" t="s">
        <v>354</v>
      </c>
      <c r="AQ136" s="137"/>
      <c r="AR136" s="149">
        <v>34.78</v>
      </c>
      <c r="AS136" s="143">
        <v>1117</v>
      </c>
      <c r="AU136" s="126" t="s">
        <v>327</v>
      </c>
      <c r="AV136" s="137"/>
      <c r="AW136" s="146">
        <v>361.37666666666667</v>
      </c>
      <c r="AX136" s="147">
        <v>159.32432419820827</v>
      </c>
    </row>
    <row r="137" spans="2:50" s="94" customFormat="1" ht="12.75">
      <c r="B137" s="126" t="s">
        <v>328</v>
      </c>
      <c r="C137" s="137"/>
      <c r="D137" s="151">
        <v>320.77</v>
      </c>
      <c r="E137" s="152">
        <v>193</v>
      </c>
      <c r="G137" s="216" t="s">
        <v>432</v>
      </c>
      <c r="H137" s="137"/>
      <c r="I137" s="151">
        <v>151.4301981522778</v>
      </c>
      <c r="J137" s="152">
        <v>1307.9166666666665</v>
      </c>
      <c r="L137" s="175" t="s">
        <v>320</v>
      </c>
      <c r="M137" s="137"/>
      <c r="N137" s="146">
        <v>546.4992439255195</v>
      </c>
      <c r="O137" s="147">
        <v>3591.0087192498663</v>
      </c>
      <c r="Q137" s="126"/>
      <c r="R137" s="137"/>
      <c r="S137" s="151"/>
      <c r="T137" s="152"/>
      <c r="V137" s="215" t="s">
        <v>240</v>
      </c>
      <c r="W137" s="227"/>
      <c r="X137" s="233">
        <v>8692.307692307691</v>
      </c>
      <c r="Y137" s="145">
        <v>13</v>
      </c>
      <c r="AA137" s="175" t="s">
        <v>333</v>
      </c>
      <c r="AB137" s="137"/>
      <c r="AC137" s="151">
        <v>218.74301369863014</v>
      </c>
      <c r="AD137" s="152">
        <v>748.458629044287</v>
      </c>
      <c r="AF137" s="126" t="s">
        <v>324</v>
      </c>
      <c r="AG137" s="227"/>
      <c r="AH137" s="260">
        <v>122.74520547945203</v>
      </c>
      <c r="AI137" s="152">
        <v>4183</v>
      </c>
      <c r="AK137" s="215" t="s">
        <v>247</v>
      </c>
      <c r="AL137" s="137"/>
      <c r="AM137" s="149">
        <v>7.67</v>
      </c>
      <c r="AN137" s="143">
        <v>1664.1668839634947</v>
      </c>
      <c r="AP137" s="126" t="s">
        <v>363</v>
      </c>
      <c r="AQ137" s="137"/>
      <c r="AR137" s="149"/>
      <c r="AS137" s="143">
        <v>0</v>
      </c>
      <c r="AU137" s="126" t="s">
        <v>337</v>
      </c>
      <c r="AV137" s="137"/>
      <c r="AW137" s="151">
        <v>178.56166666666667</v>
      </c>
      <c r="AX137" s="152">
        <v>108.95709224752231</v>
      </c>
    </row>
    <row r="138" spans="2:50" s="94" customFormat="1" ht="12.75">
      <c r="B138" s="126" t="s">
        <v>338</v>
      </c>
      <c r="C138" s="137"/>
      <c r="D138" s="151">
        <v>16</v>
      </c>
      <c r="E138" s="152">
        <v>302</v>
      </c>
      <c r="G138" s="216" t="s">
        <v>433</v>
      </c>
      <c r="H138" s="137"/>
      <c r="I138" s="151">
        <v>36.24</v>
      </c>
      <c r="J138" s="152">
        <v>429.25</v>
      </c>
      <c r="L138" s="175" t="s">
        <v>330</v>
      </c>
      <c r="M138" s="137"/>
      <c r="N138" s="146">
        <v>1213.565</v>
      </c>
      <c r="O138" s="147">
        <v>30.890288655360695</v>
      </c>
      <c r="Q138" s="126"/>
      <c r="R138" s="137"/>
      <c r="S138" s="151"/>
      <c r="T138" s="152"/>
      <c r="V138" s="215" t="s">
        <v>241</v>
      </c>
      <c r="W138" s="227"/>
      <c r="X138" s="237">
        <v>1703</v>
      </c>
      <c r="Y138" s="147">
        <v>345</v>
      </c>
      <c r="AA138" s="175" t="s">
        <v>341</v>
      </c>
      <c r="AB138" s="137"/>
      <c r="AC138" s="151">
        <v>0</v>
      </c>
      <c r="AD138" s="152"/>
      <c r="AF138" s="126" t="s">
        <v>334</v>
      </c>
      <c r="AG138" s="92"/>
      <c r="AH138" s="261">
        <v>506.2356164383561</v>
      </c>
      <c r="AI138" s="147">
        <v>10050.5</v>
      </c>
      <c r="AK138" s="215" t="s">
        <v>248</v>
      </c>
      <c r="AL138" s="137"/>
      <c r="AM138" s="149">
        <v>7.67</v>
      </c>
      <c r="AN138" s="143">
        <v>210.27379400260762</v>
      </c>
      <c r="AP138" s="126" t="s">
        <v>372</v>
      </c>
      <c r="AQ138" s="137"/>
      <c r="AR138" s="140">
        <v>21.45</v>
      </c>
      <c r="AS138" s="141">
        <v>17138.212850910535</v>
      </c>
      <c r="AU138" s="126" t="s">
        <v>346</v>
      </c>
      <c r="AV138" s="137"/>
      <c r="AW138" s="151">
        <v>178.56166666666667</v>
      </c>
      <c r="AX138" s="152">
        <v>5.526719621808289</v>
      </c>
    </row>
    <row r="139" spans="2:50" s="94" customFormat="1" ht="12.75">
      <c r="B139" s="126" t="s">
        <v>347</v>
      </c>
      <c r="C139" s="137"/>
      <c r="D139" s="149">
        <v>13.43</v>
      </c>
      <c r="E139" s="143">
        <v>1087</v>
      </c>
      <c r="G139" s="216" t="s">
        <v>434</v>
      </c>
      <c r="H139" s="137"/>
      <c r="I139" s="149">
        <v>36.24</v>
      </c>
      <c r="J139" s="143">
        <v>5818.1525</v>
      </c>
      <c r="L139" s="178" t="s">
        <v>340</v>
      </c>
      <c r="M139" s="228"/>
      <c r="N139" s="267">
        <v>6953.38</v>
      </c>
      <c r="O139" s="234">
        <v>133.86693907825543</v>
      </c>
      <c r="Q139" s="126"/>
      <c r="R139" s="137"/>
      <c r="S139" s="149"/>
      <c r="T139" s="143"/>
      <c r="V139" s="215" t="s">
        <v>243</v>
      </c>
      <c r="W139" s="227"/>
      <c r="X139" s="237">
        <v>629</v>
      </c>
      <c r="Y139" s="147">
        <v>8701</v>
      </c>
      <c r="AA139" s="175" t="s">
        <v>351</v>
      </c>
      <c r="AB139" s="137"/>
      <c r="AC139" s="149">
        <v>14.257534246575343</v>
      </c>
      <c r="AD139" s="143">
        <v>733.0239056037788</v>
      </c>
      <c r="AF139" s="126" t="s">
        <v>343</v>
      </c>
      <c r="AG139" s="227"/>
      <c r="AH139" s="261">
        <v>936</v>
      </c>
      <c r="AI139" s="147">
        <v>58</v>
      </c>
      <c r="AK139" s="215" t="s">
        <v>250</v>
      </c>
      <c r="AL139" s="137"/>
      <c r="AM139" s="140">
        <v>7.67</v>
      </c>
      <c r="AN139" s="141">
        <v>25382.04954367666</v>
      </c>
      <c r="AP139" s="126" t="s">
        <v>381</v>
      </c>
      <c r="AQ139" s="137"/>
      <c r="AR139" s="140">
        <v>21.45</v>
      </c>
      <c r="AS139" s="141">
        <v>12240.287149089465</v>
      </c>
      <c r="AU139" s="126" t="s">
        <v>355</v>
      </c>
      <c r="AV139" s="137"/>
      <c r="AW139" s="151">
        <v>136.0525</v>
      </c>
      <c r="AX139" s="152">
        <v>24.030142192732022</v>
      </c>
    </row>
    <row r="140" spans="2:50" s="94" customFormat="1" ht="12.75">
      <c r="B140" s="126" t="s">
        <v>356</v>
      </c>
      <c r="C140" s="137"/>
      <c r="D140" s="149">
        <v>13.43</v>
      </c>
      <c r="E140" s="143">
        <v>484</v>
      </c>
      <c r="G140" s="216" t="s">
        <v>435</v>
      </c>
      <c r="H140" s="137"/>
      <c r="I140" s="149">
        <v>36.24</v>
      </c>
      <c r="J140" s="143">
        <v>2188.6475</v>
      </c>
      <c r="L140" s="268"/>
      <c r="M140" s="239"/>
      <c r="N140" s="240"/>
      <c r="O140" s="221"/>
      <c r="Q140" s="126"/>
      <c r="R140" s="137"/>
      <c r="S140" s="149"/>
      <c r="T140" s="143"/>
      <c r="V140" s="215" t="s">
        <v>244</v>
      </c>
      <c r="W140" s="227"/>
      <c r="X140" s="238">
        <v>158</v>
      </c>
      <c r="Y140" s="152">
        <v>27697</v>
      </c>
      <c r="AA140" s="175" t="s">
        <v>360</v>
      </c>
      <c r="AB140" s="137"/>
      <c r="AC140" s="149">
        <v>14.257534246575343</v>
      </c>
      <c r="AD140" s="143">
        <v>2387.0521420190453</v>
      </c>
      <c r="AF140" s="126" t="s">
        <v>352</v>
      </c>
      <c r="AG140" s="227"/>
      <c r="AH140" s="261">
        <v>1491.452054794521</v>
      </c>
      <c r="AI140" s="147">
        <v>1776</v>
      </c>
      <c r="AK140" s="215" t="s">
        <v>251</v>
      </c>
      <c r="AL140" s="137"/>
      <c r="AM140" s="140">
        <v>7.67</v>
      </c>
      <c r="AN140" s="141">
        <v>9965.475880052154</v>
      </c>
      <c r="AP140" s="126" t="s">
        <v>389</v>
      </c>
      <c r="AQ140" s="137"/>
      <c r="AR140" s="167">
        <v>10.61</v>
      </c>
      <c r="AS140" s="164">
        <v>17491</v>
      </c>
      <c r="AU140" s="126" t="s">
        <v>364</v>
      </c>
      <c r="AV140" s="137"/>
      <c r="AW140" s="151">
        <v>136.0525</v>
      </c>
      <c r="AX140" s="152">
        <v>156.89437904934255</v>
      </c>
    </row>
    <row r="141" spans="2:50" s="94" customFormat="1" ht="12.75">
      <c r="B141" s="126" t="s">
        <v>365</v>
      </c>
      <c r="C141" s="137"/>
      <c r="D141" s="140">
        <v>13.43</v>
      </c>
      <c r="E141" s="141">
        <v>31256</v>
      </c>
      <c r="G141" s="216" t="s">
        <v>436</v>
      </c>
      <c r="H141" s="137"/>
      <c r="I141" s="140">
        <v>21.96</v>
      </c>
      <c r="J141" s="141">
        <v>72700.28166666665</v>
      </c>
      <c r="L141" s="92"/>
      <c r="M141" s="92"/>
      <c r="N141" s="201"/>
      <c r="O141" s="91"/>
      <c r="Q141" s="126"/>
      <c r="R141" s="137"/>
      <c r="S141" s="140"/>
      <c r="T141" s="141"/>
      <c r="V141" s="215" t="s">
        <v>245</v>
      </c>
      <c r="W141" s="227"/>
      <c r="X141" s="238">
        <v>158</v>
      </c>
      <c r="Y141" s="152">
        <v>5023</v>
      </c>
      <c r="AA141" s="175" t="s">
        <v>369</v>
      </c>
      <c r="AB141" s="137"/>
      <c r="AC141" s="140">
        <v>14.257534246575343</v>
      </c>
      <c r="AD141" s="141">
        <v>7389.2050249412805</v>
      </c>
      <c r="AF141" s="126" t="s">
        <v>444</v>
      </c>
      <c r="AG141" s="227"/>
      <c r="AH141" s="262">
        <v>6590.317808219178</v>
      </c>
      <c r="AI141" s="145">
        <v>121.5</v>
      </c>
      <c r="AK141" s="216" t="s">
        <v>446</v>
      </c>
      <c r="AL141" s="137"/>
      <c r="AM141" s="167">
        <v>2.335</v>
      </c>
      <c r="AN141" s="164">
        <v>8364.873661670234</v>
      </c>
      <c r="AP141" s="157"/>
      <c r="AQ141" s="158"/>
      <c r="AR141" s="159"/>
      <c r="AS141" s="160"/>
      <c r="AU141" s="126" t="s">
        <v>373</v>
      </c>
      <c r="AV141" s="137"/>
      <c r="AW141" s="151">
        <v>131.36083333333335</v>
      </c>
      <c r="AX141" s="152">
        <v>91.79748323068169</v>
      </c>
    </row>
    <row r="142" spans="2:50" s="94" customFormat="1" ht="12.75">
      <c r="B142" s="126" t="s">
        <v>374</v>
      </c>
      <c r="C142" s="137"/>
      <c r="D142" s="140">
        <v>13.43</v>
      </c>
      <c r="E142" s="141">
        <v>18242</v>
      </c>
      <c r="G142" s="216" t="s">
        <v>437</v>
      </c>
      <c r="H142" s="137"/>
      <c r="I142" s="140">
        <v>21.96</v>
      </c>
      <c r="J142" s="141">
        <v>115707.32416666669</v>
      </c>
      <c r="L142" s="92"/>
      <c r="M142" s="92"/>
      <c r="N142" s="201"/>
      <c r="O142" s="91"/>
      <c r="Q142" s="126"/>
      <c r="R142" s="137"/>
      <c r="S142" s="140"/>
      <c r="T142" s="141"/>
      <c r="V142" s="215" t="s">
        <v>247</v>
      </c>
      <c r="W142" s="227"/>
      <c r="X142" s="236">
        <v>33.3</v>
      </c>
      <c r="Y142" s="143">
        <v>65356</v>
      </c>
      <c r="AA142" s="175" t="s">
        <v>378</v>
      </c>
      <c r="AB142" s="137"/>
      <c r="AC142" s="140">
        <v>14.257534246575343</v>
      </c>
      <c r="AD142" s="141">
        <v>89338.52016528836</v>
      </c>
      <c r="AF142" s="126" t="s">
        <v>445</v>
      </c>
      <c r="AG142" s="227"/>
      <c r="AH142" s="262">
        <v>9598.241095890411</v>
      </c>
      <c r="AI142" s="145">
        <v>57</v>
      </c>
      <c r="AK142" s="157"/>
      <c r="AL142" s="265"/>
      <c r="AM142" s="266"/>
      <c r="AN142" s="160"/>
      <c r="AU142" s="126" t="s">
        <v>382</v>
      </c>
      <c r="AV142" s="137"/>
      <c r="AW142" s="151">
        <v>123.57333333333332</v>
      </c>
      <c r="AX142" s="152">
        <v>612.7372095419842</v>
      </c>
    </row>
    <row r="143" spans="2:50" s="94" customFormat="1" ht="12.75">
      <c r="B143" s="126" t="s">
        <v>383</v>
      </c>
      <c r="C143" s="137"/>
      <c r="D143" s="165">
        <v>4.69</v>
      </c>
      <c r="E143" s="166">
        <v>21663</v>
      </c>
      <c r="G143" s="216" t="s">
        <v>438</v>
      </c>
      <c r="H143" s="137"/>
      <c r="I143" s="167">
        <v>2.28</v>
      </c>
      <c r="J143" s="164">
        <v>82800</v>
      </c>
      <c r="L143" s="92"/>
      <c r="M143" s="92"/>
      <c r="N143" s="201"/>
      <c r="O143" s="91"/>
      <c r="Q143" s="126"/>
      <c r="R143" s="137"/>
      <c r="S143" s="167"/>
      <c r="T143" s="164"/>
      <c r="V143" s="243" t="s">
        <v>248</v>
      </c>
      <c r="W143" s="227"/>
      <c r="X143" s="236">
        <v>33.3</v>
      </c>
      <c r="Y143" s="143">
        <v>0</v>
      </c>
      <c r="AA143" s="178" t="s">
        <v>387</v>
      </c>
      <c r="AB143" s="257"/>
      <c r="AC143" s="167">
        <v>6.737260273972603</v>
      </c>
      <c r="AD143" s="164">
        <v>41640.5</v>
      </c>
      <c r="AF143" s="126" t="s">
        <v>379</v>
      </c>
      <c r="AG143" s="195"/>
      <c r="AH143" s="263">
        <v>8.4</v>
      </c>
      <c r="AI143" s="164">
        <v>716357.5</v>
      </c>
      <c r="AK143" s="92"/>
      <c r="AL143" s="92"/>
      <c r="AM143" s="201"/>
      <c r="AN143" s="91"/>
      <c r="AU143" s="126" t="s">
        <v>390</v>
      </c>
      <c r="AV143" s="137"/>
      <c r="AW143" s="149">
        <v>49.1875</v>
      </c>
      <c r="AX143" s="143">
        <v>350.35049354022806</v>
      </c>
    </row>
    <row r="144" spans="2:50" s="94" customFormat="1" ht="12.75">
      <c r="B144" s="157"/>
      <c r="C144" s="158"/>
      <c r="D144" s="159"/>
      <c r="E144" s="160"/>
      <c r="G144" s="157"/>
      <c r="H144" s="158"/>
      <c r="I144" s="159"/>
      <c r="J144" s="160"/>
      <c r="L144" s="92"/>
      <c r="M144" s="92"/>
      <c r="N144" s="201"/>
      <c r="O144" s="91"/>
      <c r="Q144" s="157"/>
      <c r="R144" s="158"/>
      <c r="S144" s="159"/>
      <c r="T144" s="160"/>
      <c r="V144" s="243" t="s">
        <v>250</v>
      </c>
      <c r="W144" s="92"/>
      <c r="X144" s="253">
        <v>29.2</v>
      </c>
      <c r="Y144" s="141">
        <v>1075758</v>
      </c>
      <c r="AA144" s="256"/>
      <c r="AB144" s="228"/>
      <c r="AC144" s="159"/>
      <c r="AD144" s="169"/>
      <c r="AF144" s="264"/>
      <c r="AG144" s="182"/>
      <c r="AH144" s="232"/>
      <c r="AI144" s="218"/>
      <c r="AK144" s="92"/>
      <c r="AL144" s="92"/>
      <c r="AM144" s="230"/>
      <c r="AN144" s="91"/>
      <c r="AU144" s="170" t="s">
        <v>391</v>
      </c>
      <c r="AV144" s="156"/>
      <c r="AW144" s="149">
        <v>49.1875</v>
      </c>
      <c r="AX144" s="143">
        <v>456.3577752962726</v>
      </c>
    </row>
    <row r="145" spans="12:50" ht="12.75">
      <c r="L145" s="92"/>
      <c r="M145" s="92"/>
      <c r="N145" s="201"/>
      <c r="O145" s="91"/>
      <c r="V145" s="243" t="s">
        <v>251</v>
      </c>
      <c r="W145" s="244"/>
      <c r="X145" s="235">
        <v>29.2</v>
      </c>
      <c r="Y145" s="141">
        <v>1326584</v>
      </c>
      <c r="AU145" s="170" t="s">
        <v>392</v>
      </c>
      <c r="AV145" s="156"/>
      <c r="AW145" s="149">
        <v>49.1875</v>
      </c>
      <c r="AX145" s="143">
        <v>1505.7494643715818</v>
      </c>
    </row>
    <row r="146" spans="7:50" ht="12.75">
      <c r="G146" s="203"/>
      <c r="L146" s="92"/>
      <c r="M146" s="92"/>
      <c r="N146" s="201"/>
      <c r="O146" s="91"/>
      <c r="V146" s="255" t="s">
        <v>253</v>
      </c>
      <c r="W146" s="245"/>
      <c r="X146" s="251">
        <v>3.53</v>
      </c>
      <c r="Y146" s="252">
        <v>912136</v>
      </c>
      <c r="AA146" s="203"/>
      <c r="AU146" s="170" t="s">
        <v>393</v>
      </c>
      <c r="AV146" s="156"/>
      <c r="AW146" s="149">
        <v>14.585833333333332</v>
      </c>
      <c r="AX146" s="143">
        <v>2074.424455989885</v>
      </c>
    </row>
    <row r="147" spans="12:50" ht="12.75">
      <c r="L147" s="92"/>
      <c r="M147" s="92"/>
      <c r="N147" s="201"/>
      <c r="O147" s="91"/>
      <c r="V147" s="247"/>
      <c r="W147" s="248"/>
      <c r="X147" s="249"/>
      <c r="Y147" s="250"/>
      <c r="AU147" s="170" t="s">
        <v>396</v>
      </c>
      <c r="AV147" s="156"/>
      <c r="AW147" s="140">
        <v>13.0575</v>
      </c>
      <c r="AX147" s="141">
        <v>44278.04403599463</v>
      </c>
    </row>
    <row r="148" spans="12:50" ht="12.75">
      <c r="L148" s="105"/>
      <c r="M148" s="105"/>
      <c r="N148" s="105"/>
      <c r="O148" s="105"/>
      <c r="AU148" s="170" t="s">
        <v>399</v>
      </c>
      <c r="AV148" s="156"/>
      <c r="AW148" s="167">
        <v>2.4758333333333336</v>
      </c>
      <c r="AX148" s="164">
        <v>21230.09222484012</v>
      </c>
    </row>
    <row r="149" spans="47:50" ht="12.75">
      <c r="AU149" s="157"/>
      <c r="AV149" s="158"/>
      <c r="AW149" s="159"/>
      <c r="AX149" s="160"/>
    </row>
    <row r="150" spans="2:50" s="94" customFormat="1" ht="12.75">
      <c r="B150" s="217" t="s">
        <v>451</v>
      </c>
      <c r="C150" s="182"/>
      <c r="D150" s="219">
        <f>SUMPRODUCT(D132:D148,E132:E148)</f>
        <v>865531.59</v>
      </c>
      <c r="G150" s="217" t="s">
        <v>451</v>
      </c>
      <c r="H150" s="182"/>
      <c r="I150" s="219">
        <f>SUMPRODUCT(I132:I148,J132:J148)</f>
        <v>7220153.3707</v>
      </c>
      <c r="L150" s="217" t="s">
        <v>451</v>
      </c>
      <c r="M150" s="182"/>
      <c r="N150" s="219">
        <f>SUMPRODUCT(N132:N148,O132:O148)</f>
        <v>48686942.18</v>
      </c>
      <c r="Q150" s="217" t="s">
        <v>451</v>
      </c>
      <c r="R150" s="182"/>
      <c r="S150" s="219">
        <f>SUMPRODUCT(S132:S148,T132:T148)</f>
        <v>0</v>
      </c>
      <c r="V150" s="217" t="s">
        <v>451</v>
      </c>
      <c r="W150" s="182"/>
      <c r="X150" s="219">
        <f>SUMPRODUCT(X132:X148,Y132:Y148)</f>
        <v>90870805.27999999</v>
      </c>
      <c r="AA150" s="217" t="s">
        <v>451</v>
      </c>
      <c r="AB150" s="182"/>
      <c r="AC150" s="219">
        <f>SUMPRODUCT(AC132:AC148,AD132:AD148)</f>
        <v>2247861.9383741594</v>
      </c>
      <c r="AF150" s="217" t="s">
        <v>451</v>
      </c>
      <c r="AG150" s="182"/>
      <c r="AH150" s="219">
        <f>SUMPRODUCT(AH132:AH148,AI132:AI148)</f>
        <v>62782267.39479453</v>
      </c>
      <c r="AK150" s="217" t="s">
        <v>451</v>
      </c>
      <c r="AL150" s="182"/>
      <c r="AM150" s="219">
        <f>SUMPRODUCT(AM132:AM148,AN132:AN148)</f>
        <v>350137.03833333333</v>
      </c>
      <c r="AP150" s="217" t="s">
        <v>451</v>
      </c>
      <c r="AQ150" s="182"/>
      <c r="AR150" s="219">
        <f>SUMPRODUCT(AR132:AR148,AS132:AS148)</f>
        <v>886877.7944444444</v>
      </c>
      <c r="AU150" s="217" t="s">
        <v>451</v>
      </c>
      <c r="AV150" s="182"/>
      <c r="AW150" s="219">
        <f>SUMPRODUCT(AW132:AW148,AX132:AX148)</f>
        <v>1286882.873333333</v>
      </c>
      <c r="AX150" s="91"/>
    </row>
    <row r="151" ht="12.75">
      <c r="AU151" s="203"/>
    </row>
    <row r="152" spans="1:12" s="199" customFormat="1" ht="12.75">
      <c r="A152" s="199" t="s">
        <v>470</v>
      </c>
      <c r="B152" s="83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</row>
    <row r="153" s="94" customFormat="1" ht="12.75"/>
    <row r="154" spans="2:47" s="94" customFormat="1" ht="12.75">
      <c r="B154" s="171" t="s">
        <v>146</v>
      </c>
      <c r="G154" s="171" t="s">
        <v>29</v>
      </c>
      <c r="L154" s="171" t="s">
        <v>147</v>
      </c>
      <c r="Q154" s="171" t="s">
        <v>288</v>
      </c>
      <c r="V154" s="171" t="s">
        <v>148</v>
      </c>
      <c r="AA154" s="171" t="s">
        <v>149</v>
      </c>
      <c r="AF154" s="171" t="s">
        <v>150</v>
      </c>
      <c r="AK154" s="171" t="s">
        <v>195</v>
      </c>
      <c r="AP154" s="171" t="s">
        <v>151</v>
      </c>
      <c r="AU154" s="171" t="s">
        <v>30</v>
      </c>
    </row>
    <row r="155" spans="2:50" s="94" customFormat="1" ht="12.75">
      <c r="B155" s="181"/>
      <c r="C155" s="182"/>
      <c r="D155" s="183" t="s">
        <v>402</v>
      </c>
      <c r="E155" s="184" t="s">
        <v>403</v>
      </c>
      <c r="G155" s="181"/>
      <c r="H155" s="182"/>
      <c r="I155" s="183" t="s">
        <v>402</v>
      </c>
      <c r="J155" s="184" t="s">
        <v>403</v>
      </c>
      <c r="L155" s="181"/>
      <c r="M155" s="182"/>
      <c r="N155" s="183" t="s">
        <v>402</v>
      </c>
      <c r="O155" s="184" t="s">
        <v>403</v>
      </c>
      <c r="Q155" s="181"/>
      <c r="R155" s="182"/>
      <c r="S155" s="183"/>
      <c r="T155" s="184"/>
      <c r="V155" s="181"/>
      <c r="W155" s="182"/>
      <c r="X155" s="183" t="s">
        <v>402</v>
      </c>
      <c r="Y155" s="184" t="s">
        <v>403</v>
      </c>
      <c r="AA155" s="181"/>
      <c r="AB155" s="182"/>
      <c r="AC155" s="183" t="s">
        <v>402</v>
      </c>
      <c r="AD155" s="184" t="s">
        <v>403</v>
      </c>
      <c r="AF155" s="181"/>
      <c r="AG155" s="182"/>
      <c r="AH155" s="183" t="s">
        <v>402</v>
      </c>
      <c r="AI155" s="184" t="s">
        <v>403</v>
      </c>
      <c r="AK155" s="181"/>
      <c r="AL155" s="182"/>
      <c r="AM155" s="183" t="s">
        <v>402</v>
      </c>
      <c r="AN155" s="184" t="s">
        <v>403</v>
      </c>
      <c r="AP155" s="181"/>
      <c r="AQ155" s="182"/>
      <c r="AR155" s="183" t="s">
        <v>402</v>
      </c>
      <c r="AS155" s="184" t="s">
        <v>403</v>
      </c>
      <c r="AU155" s="181"/>
      <c r="AV155" s="182"/>
      <c r="AW155" s="183" t="s">
        <v>402</v>
      </c>
      <c r="AX155" s="184" t="s">
        <v>403</v>
      </c>
    </row>
    <row r="156" spans="2:50" s="94" customFormat="1" ht="12.75">
      <c r="B156" s="175" t="s">
        <v>404</v>
      </c>
      <c r="C156" s="96"/>
      <c r="D156" s="185">
        <f>D143</f>
        <v>4.69</v>
      </c>
      <c r="E156" s="186">
        <f>E143</f>
        <v>21663</v>
      </c>
      <c r="G156" s="175" t="s">
        <v>404</v>
      </c>
      <c r="H156" s="96"/>
      <c r="I156" s="185">
        <f>I143</f>
        <v>2.28</v>
      </c>
      <c r="J156" s="186">
        <f>J143</f>
        <v>82800</v>
      </c>
      <c r="L156" s="175" t="s">
        <v>404</v>
      </c>
      <c r="M156" s="96"/>
      <c r="N156" s="185">
        <f>N132</f>
        <v>7.727205275273999</v>
      </c>
      <c r="O156" s="186">
        <f>O132</f>
        <v>640309.9159061172</v>
      </c>
      <c r="Q156" s="175"/>
      <c r="R156" s="96"/>
      <c r="S156" s="185"/>
      <c r="T156" s="186"/>
      <c r="V156" s="175" t="s">
        <v>404</v>
      </c>
      <c r="W156" s="96"/>
      <c r="X156" s="185">
        <f>X146</f>
        <v>3.53</v>
      </c>
      <c r="Y156" s="186">
        <f>Y146</f>
        <v>912136</v>
      </c>
      <c r="AA156" s="175" t="s">
        <v>404</v>
      </c>
      <c r="AB156" s="96"/>
      <c r="AC156" s="185">
        <f>AC143</f>
        <v>6.737260273972603</v>
      </c>
      <c r="AD156" s="186">
        <f>AD143</f>
        <v>41640.5</v>
      </c>
      <c r="AF156" s="175" t="s">
        <v>404</v>
      </c>
      <c r="AG156" s="96"/>
      <c r="AH156" s="185">
        <f>AH143</f>
        <v>8.4</v>
      </c>
      <c r="AI156" s="186">
        <f>AI143</f>
        <v>716357.5</v>
      </c>
      <c r="AK156" s="175" t="s">
        <v>404</v>
      </c>
      <c r="AL156" s="96"/>
      <c r="AM156" s="185">
        <f>AM141</f>
        <v>2.335</v>
      </c>
      <c r="AN156" s="186">
        <f>AN141</f>
        <v>8364.873661670234</v>
      </c>
      <c r="AP156" s="175" t="s">
        <v>404</v>
      </c>
      <c r="AQ156" s="96"/>
      <c r="AR156" s="185">
        <f>AR140</f>
        <v>10.61</v>
      </c>
      <c r="AS156" s="186">
        <f>AS140</f>
        <v>17491</v>
      </c>
      <c r="AU156" s="175" t="s">
        <v>404</v>
      </c>
      <c r="AV156" s="96"/>
      <c r="AW156" s="185">
        <f>AW148</f>
        <v>2.4758333333333336</v>
      </c>
      <c r="AX156" s="186">
        <f>AX148</f>
        <v>21230.09222484012</v>
      </c>
    </row>
    <row r="157" spans="2:50" s="94" customFormat="1" ht="12.75">
      <c r="B157" s="175" t="s">
        <v>405</v>
      </c>
      <c r="C157" s="96"/>
      <c r="D157" s="187">
        <f>D141</f>
        <v>13.43</v>
      </c>
      <c r="E157" s="188">
        <f>E141+E142</f>
        <v>49498</v>
      </c>
      <c r="G157" s="175" t="s">
        <v>405</v>
      </c>
      <c r="H157" s="96"/>
      <c r="I157" s="187">
        <f>I142</f>
        <v>21.96</v>
      </c>
      <c r="J157" s="188">
        <f>J141+J142</f>
        <v>188407.60583333333</v>
      </c>
      <c r="L157" s="175" t="s">
        <v>405</v>
      </c>
      <c r="M157" s="96"/>
      <c r="N157" s="187">
        <f>N133</f>
        <v>19.98837929711354</v>
      </c>
      <c r="O157" s="188">
        <f>O133</f>
        <v>1842085.481403543</v>
      </c>
      <c r="Q157" s="175"/>
      <c r="R157" s="96"/>
      <c r="S157" s="187"/>
      <c r="T157" s="188"/>
      <c r="V157" s="175" t="s">
        <v>405</v>
      </c>
      <c r="W157" s="96"/>
      <c r="X157" s="187">
        <f>SUMPRODUCT(X144:X145,Y144:Y145)/SUM(Y144:Y145)</f>
        <v>29.199999999999996</v>
      </c>
      <c r="Y157" s="188">
        <f>SUM(Y144:Y145)</f>
        <v>2402342</v>
      </c>
      <c r="AA157" s="175" t="s">
        <v>405</v>
      </c>
      <c r="AB157" s="96"/>
      <c r="AC157" s="187">
        <f>AC141</f>
        <v>14.257534246575343</v>
      </c>
      <c r="AD157" s="188">
        <f>AD141+AD142</f>
        <v>96727.72519022964</v>
      </c>
      <c r="AF157" s="175" t="s">
        <v>405</v>
      </c>
      <c r="AG157" s="96"/>
      <c r="AH157" s="187">
        <f>AH132</f>
        <v>16.289424657534248</v>
      </c>
      <c r="AI157" s="188">
        <f>AI132</f>
        <v>2646051.5</v>
      </c>
      <c r="AK157" s="175" t="s">
        <v>405</v>
      </c>
      <c r="AL157" s="96"/>
      <c r="AM157" s="187">
        <f>AM139</f>
        <v>7.67</v>
      </c>
      <c r="AN157" s="188">
        <f>AN139+AN140</f>
        <v>35347.52542372882</v>
      </c>
      <c r="AP157" s="175" t="s">
        <v>405</v>
      </c>
      <c r="AQ157" s="96"/>
      <c r="AR157" s="187">
        <f>AR138</f>
        <v>21.45</v>
      </c>
      <c r="AS157" s="188">
        <f>AS138+AS139</f>
        <v>29378.5</v>
      </c>
      <c r="AU157" s="175" t="s">
        <v>405</v>
      </c>
      <c r="AV157" s="96"/>
      <c r="AW157" s="187">
        <f>AW147</f>
        <v>13.0575</v>
      </c>
      <c r="AX157" s="188">
        <f>AX147</f>
        <v>44278.04403599463</v>
      </c>
    </row>
    <row r="158" spans="2:50" s="94" customFormat="1" ht="12.75">
      <c r="B158" s="175" t="s">
        <v>406</v>
      </c>
      <c r="C158" s="96"/>
      <c r="D158" s="189">
        <f>D139</f>
        <v>13.43</v>
      </c>
      <c r="E158" s="190">
        <f>E139+E140</f>
        <v>1571</v>
      </c>
      <c r="G158" s="175" t="s">
        <v>406</v>
      </c>
      <c r="H158" s="96"/>
      <c r="I158" s="189">
        <f>I139</f>
        <v>36.24</v>
      </c>
      <c r="J158" s="190">
        <f>J139+J140</f>
        <v>8006.8</v>
      </c>
      <c r="L158" s="175" t="s">
        <v>406</v>
      </c>
      <c r="M158" s="96"/>
      <c r="N158" s="189">
        <f>SUMPRODUCT(N134:N135,O134:O135)/SUM(O134:O135)</f>
        <v>40.66799989783294</v>
      </c>
      <c r="O158" s="190">
        <f>SUM(O134:O135)</f>
        <v>80468.7245062765</v>
      </c>
      <c r="Q158" s="175"/>
      <c r="R158" s="96"/>
      <c r="S158" s="189"/>
      <c r="T158" s="190"/>
      <c r="V158" s="175" t="s">
        <v>406</v>
      </c>
      <c r="W158" s="96"/>
      <c r="X158" s="189">
        <f>SUMPRODUCT(X142:X143,Y142:Y143)/SUM(Y142:Y143)</f>
        <v>33.3</v>
      </c>
      <c r="Y158" s="190">
        <f>SUM(Y142:Y143)</f>
        <v>65356</v>
      </c>
      <c r="AA158" s="175" t="s">
        <v>406</v>
      </c>
      <c r="AB158" s="96"/>
      <c r="AC158" s="189">
        <f>AC139</f>
        <v>14.257534246575343</v>
      </c>
      <c r="AD158" s="190">
        <f>AD139+AD140</f>
        <v>3120.0760476228243</v>
      </c>
      <c r="AF158" s="175" t="s">
        <v>406</v>
      </c>
      <c r="AG158" s="96"/>
      <c r="AH158" s="189">
        <f>(AH133*AI133+AH134*AI134)/(AI133+AI134)</f>
        <v>26.898212130926904</v>
      </c>
      <c r="AI158" s="190">
        <f>AI133+AI134</f>
        <v>113832</v>
      </c>
      <c r="AK158" s="175" t="s">
        <v>406</v>
      </c>
      <c r="AL158" s="96"/>
      <c r="AM158" s="189">
        <f>AM137</f>
        <v>7.67</v>
      </c>
      <c r="AN158" s="190">
        <f>AN137+AN138</f>
        <v>1874.4406779661024</v>
      </c>
      <c r="AP158" s="175" t="s">
        <v>406</v>
      </c>
      <c r="AQ158" s="96"/>
      <c r="AR158" s="189">
        <f>AR136</f>
        <v>34.78</v>
      </c>
      <c r="AS158" s="190">
        <f>AS136</f>
        <v>1117</v>
      </c>
      <c r="AU158" s="175" t="s">
        <v>406</v>
      </c>
      <c r="AV158" s="96"/>
      <c r="AW158" s="189">
        <f>SUMPRODUCT(AW143:AW146,AX143:AX146)/SUM(AX143:AX146)</f>
        <v>32.82541402283673</v>
      </c>
      <c r="AX158" s="190">
        <f>SUM(AX143:AX146)</f>
        <v>4386.882189197968</v>
      </c>
    </row>
    <row r="159" spans="2:50" s="94" customFormat="1" ht="12.75">
      <c r="B159" s="175" t="s">
        <v>394</v>
      </c>
      <c r="C159" s="96"/>
      <c r="D159" s="191">
        <f>(D138*E138+D137*E137)/(E137+E138)</f>
        <v>134.82951515151512</v>
      </c>
      <c r="E159" s="192">
        <f>E138+E137</f>
        <v>495</v>
      </c>
      <c r="G159" s="175" t="s">
        <v>394</v>
      </c>
      <c r="H159" s="96"/>
      <c r="I159" s="191">
        <f>(I137*J137+I138*J138)/(J137+J138)</f>
        <v>122.96695768972465</v>
      </c>
      <c r="J159" s="192">
        <f>J137+J138</f>
        <v>1737.1666666666665</v>
      </c>
      <c r="L159" s="175" t="s">
        <v>394</v>
      </c>
      <c r="M159" s="96"/>
      <c r="N159" s="191">
        <f>N136</f>
        <v>69.78134625774697</v>
      </c>
      <c r="O159" s="192">
        <f>O136</f>
        <v>10253.915385310629</v>
      </c>
      <c r="Q159" s="175"/>
      <c r="R159" s="96"/>
      <c r="S159" s="191"/>
      <c r="T159" s="192"/>
      <c r="V159" s="175" t="s">
        <v>394</v>
      </c>
      <c r="W159" s="96"/>
      <c r="X159" s="191">
        <f>SUMPRODUCT(X140:X141,Y140:Y141)/SUM(Y140:Y141)</f>
        <v>158</v>
      </c>
      <c r="Y159" s="192">
        <f>SUM(Y140:Y141)</f>
        <v>32720</v>
      </c>
      <c r="AA159" s="175" t="s">
        <v>394</v>
      </c>
      <c r="AB159" s="96"/>
      <c r="AC159" s="191">
        <f>AC137</f>
        <v>218.74301369863014</v>
      </c>
      <c r="AD159" s="192">
        <f>AD137</f>
        <v>748.458629044287</v>
      </c>
      <c r="AF159" s="175" t="s">
        <v>394</v>
      </c>
      <c r="AG159" s="96"/>
      <c r="AH159" s="191">
        <f>SUMPRODUCT(AH135:AH137,AI135:AI137)/SUM(AI135:AI137)</f>
        <v>103.19723865331304</v>
      </c>
      <c r="AI159" s="192">
        <f>SUM(AI135:AI137)</f>
        <v>14162</v>
      </c>
      <c r="AK159" s="175" t="s">
        <v>394</v>
      </c>
      <c r="AL159" s="96"/>
      <c r="AM159" s="191"/>
      <c r="AN159" s="192"/>
      <c r="AP159" s="175" t="s">
        <v>394</v>
      </c>
      <c r="AQ159" s="96"/>
      <c r="AR159" s="191">
        <f>(AR134*AS134+AR135*AS135)/(AS134+AS135)</f>
        <v>98.42400107463855</v>
      </c>
      <c r="AS159" s="192">
        <f>AS134+AS135</f>
        <v>227.46666666666664</v>
      </c>
      <c r="AU159" s="175" t="s">
        <v>394</v>
      </c>
      <c r="AV159" s="96"/>
      <c r="AW159" s="191">
        <f>SUMPRODUCT(AW137:AW142,AX137:AX142)/SUM(AX137:AX142)</f>
        <v>132.84179555944172</v>
      </c>
      <c r="AX159" s="192">
        <f>SUM(AX137:AX142)</f>
        <v>999.943025884071</v>
      </c>
    </row>
    <row r="160" spans="2:50" s="94" customFormat="1" ht="12.75">
      <c r="B160" s="175" t="s">
        <v>397</v>
      </c>
      <c r="C160" s="96"/>
      <c r="D160" s="193">
        <f>D136</f>
        <v>365.64</v>
      </c>
      <c r="E160" s="194">
        <f>E136</f>
        <v>31</v>
      </c>
      <c r="G160" s="175" t="s">
        <v>397</v>
      </c>
      <c r="H160" s="96"/>
      <c r="I160" s="193">
        <f>I136</f>
        <v>1046.4306555671174</v>
      </c>
      <c r="J160" s="194">
        <f>J136</f>
        <v>320.3333333333333</v>
      </c>
      <c r="L160" s="175" t="s">
        <v>397</v>
      </c>
      <c r="M160" s="96"/>
      <c r="N160" s="193">
        <f>(N137*O137+N138*O138)/(O137+O138)</f>
        <v>552.1884842141836</v>
      </c>
      <c r="O160" s="194">
        <f>O137+O138</f>
        <v>3621.899007905227</v>
      </c>
      <c r="Q160" s="175"/>
      <c r="R160" s="96"/>
      <c r="S160" s="193"/>
      <c r="T160" s="194"/>
      <c r="V160" s="175" t="s">
        <v>397</v>
      </c>
      <c r="W160" s="96"/>
      <c r="X160" s="193">
        <f>SUMPRODUCT(X138:X139,Y138:Y139)/SUM(Y138:Y139)</f>
        <v>669.9606455892107</v>
      </c>
      <c r="Y160" s="194">
        <f>SUM(Y138:Y139)</f>
        <v>9046</v>
      </c>
      <c r="AA160" s="175" t="s">
        <v>397</v>
      </c>
      <c r="AB160" s="96"/>
      <c r="AC160" s="193">
        <f>AC136</f>
        <v>628.7066301369863</v>
      </c>
      <c r="AD160" s="194">
        <f>AD136</f>
        <v>586.4032998067258</v>
      </c>
      <c r="AF160" s="175" t="s">
        <v>397</v>
      </c>
      <c r="AG160" s="96"/>
      <c r="AH160" s="193">
        <f>SUMPRODUCT(AH138:AH140,AI138:AI140)/SUM(AI138:AI140)</f>
        <v>655.5621113491326</v>
      </c>
      <c r="AI160" s="194">
        <f>SUM(AI138:AI140)</f>
        <v>11884.5</v>
      </c>
      <c r="AK160" s="175" t="s">
        <v>397</v>
      </c>
      <c r="AL160" s="96"/>
      <c r="AM160" s="193"/>
      <c r="AN160" s="194"/>
      <c r="AP160" s="175" t="s">
        <v>397</v>
      </c>
      <c r="AQ160" s="96"/>
      <c r="AR160" s="193">
        <f>(AR132*AS132+AR133*AS133)/(AS132+AS133)</f>
        <v>494.601</v>
      </c>
      <c r="AS160" s="194">
        <f>AS132+AS133</f>
        <v>20</v>
      </c>
      <c r="AU160" s="175" t="s">
        <v>397</v>
      </c>
      <c r="AV160" s="96"/>
      <c r="AW160" s="193">
        <f>SUMPRODUCT(AW133:AW136,AX133:AX136)/SUM(AX133:AX136)</f>
        <v>783.4476415132995</v>
      </c>
      <c r="AX160" s="194">
        <f>SUM(AX133:AX136)</f>
        <v>373.74143044186843</v>
      </c>
    </row>
    <row r="161" spans="2:50" s="94" customFormat="1" ht="12.75">
      <c r="B161" s="178" t="s">
        <v>400</v>
      </c>
      <c r="C161" s="195"/>
      <c r="D161" s="196"/>
      <c r="E161" s="197"/>
      <c r="G161" s="178" t="s">
        <v>400</v>
      </c>
      <c r="H161" s="195"/>
      <c r="I161" s="196">
        <f>(SUMPRODUCT(I132:I135,J132:J135))/SUM(J132:J135)</f>
        <v>47421.9506446154</v>
      </c>
      <c r="J161" s="197">
        <f>SUM(J132:J135)</f>
        <v>43.33333333333333</v>
      </c>
      <c r="L161" s="178" t="s">
        <v>400</v>
      </c>
      <c r="M161" s="195"/>
      <c r="N161" s="196">
        <f>N139</f>
        <v>6953.38</v>
      </c>
      <c r="O161" s="197">
        <f>O139</f>
        <v>133.86693907825543</v>
      </c>
      <c r="Q161" s="178"/>
      <c r="R161" s="195"/>
      <c r="S161" s="196"/>
      <c r="T161" s="197"/>
      <c r="V161" s="178" t="s">
        <v>400</v>
      </c>
      <c r="W161" s="195"/>
      <c r="X161" s="196">
        <f>SUMPRODUCT(X132:X137,Y132:Y137)/SUM(Y132:Y137)</f>
        <v>17579.3991416309</v>
      </c>
      <c r="Y161" s="197">
        <f>SUM(Y132:Y137)</f>
        <v>233</v>
      </c>
      <c r="AA161" s="178" t="s">
        <v>400</v>
      </c>
      <c r="AB161" s="195"/>
      <c r="AC161" s="196">
        <f>SUMPRODUCT(AC133:AC135,AD133:AD135)/SUM(AD133:AD135)</f>
        <v>2419.760811370383</v>
      </c>
      <c r="AD161" s="197">
        <f>SUM(AD133:AD135)</f>
        <v>4.686358924402846</v>
      </c>
      <c r="AF161" s="178" t="s">
        <v>400</v>
      </c>
      <c r="AG161" s="195"/>
      <c r="AH161" s="196">
        <f>SUMPRODUCT(AH141:AH142,AI141:AI142)/SUM(AI141:AI142)</f>
        <v>7550.831126971338</v>
      </c>
      <c r="AI161" s="197">
        <f>SUM(AI141:AI142)</f>
        <v>178.5</v>
      </c>
      <c r="AK161" s="178" t="s">
        <v>400</v>
      </c>
      <c r="AL161" s="195"/>
      <c r="AM161" s="196">
        <f>SUMPRODUCT(AM132:AM136,AN132:AN136)/SUM(AN132:AN136)</f>
        <v>52.42328782328602</v>
      </c>
      <c r="AN161" s="197">
        <f>SUM(AN132:AN136)</f>
        <v>860.5446206541565</v>
      </c>
      <c r="AP161" s="178" t="s">
        <v>400</v>
      </c>
      <c r="AQ161" s="195"/>
      <c r="AR161" s="196"/>
      <c r="AS161" s="197"/>
      <c r="AU161" s="178" t="s">
        <v>400</v>
      </c>
      <c r="AV161" s="195"/>
      <c r="AW161" s="196">
        <f>AW132</f>
        <v>4960.083333333333</v>
      </c>
      <c r="AX161" s="197">
        <f>AX132</f>
        <v>17.442821855633813</v>
      </c>
    </row>
    <row r="162" spans="2:50" s="86" customFormat="1" ht="12.75">
      <c r="B162" s="223" t="s">
        <v>451</v>
      </c>
      <c r="C162" s="220"/>
      <c r="D162" s="222">
        <f>SUMPRODUCT(D156:D161,E156:E161)</f>
        <v>865531.59</v>
      </c>
      <c r="E162" s="221"/>
      <c r="G162" s="223" t="s">
        <v>451</v>
      </c>
      <c r="H162" s="220"/>
      <c r="I162" s="222">
        <f>SUMPRODUCT(I156:I161,J156:J161)</f>
        <v>7220153.3707</v>
      </c>
      <c r="J162" s="221"/>
      <c r="L162" s="223" t="s">
        <v>451</v>
      </c>
      <c r="M162" s="220"/>
      <c r="N162" s="222">
        <f>SUMPRODUCT(N156:N161,O156:O161)</f>
        <v>48686942.18000001</v>
      </c>
      <c r="O162" s="221"/>
      <c r="Q162" s="223" t="s">
        <v>451</v>
      </c>
      <c r="R162" s="220"/>
      <c r="S162" s="222">
        <f>SUMPRODUCT(S156:S161,T156:T161)</f>
        <v>0</v>
      </c>
      <c r="T162" s="221"/>
      <c r="V162" s="223" t="s">
        <v>451</v>
      </c>
      <c r="W162" s="220"/>
      <c r="X162" s="222">
        <f>SUMPRODUCT(X156:X161,Y156:Y161)</f>
        <v>90870805.27999999</v>
      </c>
      <c r="Y162" s="221"/>
      <c r="AA162" s="223" t="s">
        <v>451</v>
      </c>
      <c r="AB162" s="220"/>
      <c r="AC162" s="219">
        <f>SUMPRODUCT(AC156:AC161,AD156:AD161)</f>
        <v>2247861.9383741594</v>
      </c>
      <c r="AD162" s="221"/>
      <c r="AF162" s="223" t="s">
        <v>451</v>
      </c>
      <c r="AG162" s="220"/>
      <c r="AH162" s="219">
        <f>SUMPRODUCT(AH156:AH161,AI156:AI161)</f>
        <v>62782267.39479452</v>
      </c>
      <c r="AI162" s="221"/>
      <c r="AK162" s="223" t="s">
        <v>451</v>
      </c>
      <c r="AL162" s="220"/>
      <c r="AM162" s="222">
        <f>SUMPRODUCT(AM156:AM161,AN156:AN161)</f>
        <v>350137.03833333333</v>
      </c>
      <c r="AN162" s="221"/>
      <c r="AP162" s="223" t="s">
        <v>451</v>
      </c>
      <c r="AQ162" s="220"/>
      <c r="AR162" s="219">
        <f>SUMPRODUCT(AR156:AR161,AS156:AS161)</f>
        <v>886877.7944444445</v>
      </c>
      <c r="AS162" s="221"/>
      <c r="AU162" s="223" t="s">
        <v>451</v>
      </c>
      <c r="AV162" s="220"/>
      <c r="AW162" s="222">
        <f>SUMPRODUCT(AW156:AW161,AX156:AX161)</f>
        <v>1286882.8733333333</v>
      </c>
      <c r="AX162" s="221"/>
    </row>
    <row r="163" spans="2:50" s="86" customFormat="1" ht="12.75">
      <c r="B163" s="31"/>
      <c r="C163" s="31"/>
      <c r="D163" s="202"/>
      <c r="E163" s="116"/>
      <c r="G163" s="31"/>
      <c r="H163" s="31"/>
      <c r="I163" s="202"/>
      <c r="J163" s="116"/>
      <c r="L163" s="31"/>
      <c r="M163" s="31"/>
      <c r="N163" s="202"/>
      <c r="O163" s="116"/>
      <c r="Q163" s="31"/>
      <c r="R163" s="31"/>
      <c r="S163" s="202"/>
      <c r="T163" s="116"/>
      <c r="V163" s="31"/>
      <c r="W163" s="31"/>
      <c r="X163" s="202"/>
      <c r="Y163" s="116"/>
      <c r="AA163" s="31"/>
      <c r="AB163" s="31"/>
      <c r="AC163" s="202"/>
      <c r="AD163" s="116"/>
      <c r="AF163" s="31"/>
      <c r="AG163" s="31"/>
      <c r="AH163" s="202"/>
      <c r="AI163" s="116"/>
      <c r="AK163" s="31"/>
      <c r="AL163" s="31"/>
      <c r="AM163" s="202"/>
      <c r="AN163" s="116"/>
      <c r="AP163" s="31"/>
      <c r="AQ163" s="31"/>
      <c r="AR163" s="202"/>
      <c r="AS163" s="116"/>
      <c r="AU163" s="31"/>
      <c r="AV163" s="31"/>
      <c r="AW163" s="202"/>
      <c r="AX163" s="116"/>
    </row>
    <row r="164" spans="1:12" s="199" customFormat="1" ht="12.75">
      <c r="A164" s="199" t="s">
        <v>93</v>
      </c>
      <c r="B164" s="83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</row>
    <row r="165" spans="1:20" ht="12.75">
      <c r="A165" s="205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</row>
    <row r="166" spans="2:47" s="94" customFormat="1" ht="15.75">
      <c r="B166" s="122" t="s">
        <v>146</v>
      </c>
      <c r="G166" s="122" t="s">
        <v>29</v>
      </c>
      <c r="L166" s="122" t="s">
        <v>147</v>
      </c>
      <c r="Q166" s="122" t="s">
        <v>288</v>
      </c>
      <c r="V166" s="122" t="s">
        <v>148</v>
      </c>
      <c r="Y166" s="161"/>
      <c r="AA166" s="122" t="s">
        <v>149</v>
      </c>
      <c r="AF166" s="122" t="s">
        <v>150</v>
      </c>
      <c r="AK166" s="122" t="s">
        <v>195</v>
      </c>
      <c r="AP166" s="122" t="s">
        <v>151</v>
      </c>
      <c r="AU166" s="123" t="s">
        <v>30</v>
      </c>
    </row>
    <row r="167" spans="2:50" s="94" customFormat="1" ht="12.75">
      <c r="B167" s="124" t="s">
        <v>252</v>
      </c>
      <c r="C167" s="125"/>
      <c r="D167" s="124" t="s">
        <v>402</v>
      </c>
      <c r="E167" s="124" t="s">
        <v>403</v>
      </c>
      <c r="G167" s="124" t="s">
        <v>252</v>
      </c>
      <c r="H167" s="125"/>
      <c r="I167" s="183" t="s">
        <v>402</v>
      </c>
      <c r="J167" s="270" t="s">
        <v>403</v>
      </c>
      <c r="L167" s="124" t="s">
        <v>252</v>
      </c>
      <c r="M167" s="125"/>
      <c r="N167" s="183" t="s">
        <v>402</v>
      </c>
      <c r="O167" s="184" t="s">
        <v>403</v>
      </c>
      <c r="Q167" s="124"/>
      <c r="R167" s="125"/>
      <c r="S167" s="183"/>
      <c r="T167" s="184"/>
      <c r="V167" s="124" t="s">
        <v>252</v>
      </c>
      <c r="W167" s="125"/>
      <c r="X167" s="183" t="s">
        <v>402</v>
      </c>
      <c r="Y167" s="184" t="s">
        <v>403</v>
      </c>
      <c r="AA167" s="124" t="s">
        <v>252</v>
      </c>
      <c r="AB167" s="125"/>
      <c r="AC167" s="183" t="s">
        <v>402</v>
      </c>
      <c r="AD167" s="184" t="s">
        <v>403</v>
      </c>
      <c r="AF167" s="124" t="s">
        <v>252</v>
      </c>
      <c r="AG167" s="125"/>
      <c r="AH167" s="183" t="s">
        <v>402</v>
      </c>
      <c r="AI167" s="184" t="s">
        <v>403</v>
      </c>
      <c r="AK167" s="124"/>
      <c r="AL167" s="125"/>
      <c r="AM167" s="183"/>
      <c r="AN167" s="184"/>
      <c r="AP167" s="124" t="s">
        <v>252</v>
      </c>
      <c r="AQ167" s="125"/>
      <c r="AR167" s="183" t="s">
        <v>402</v>
      </c>
      <c r="AS167" s="184" t="s">
        <v>403</v>
      </c>
      <c r="AU167" s="124" t="s">
        <v>252</v>
      </c>
      <c r="AV167" s="125"/>
      <c r="AW167" s="183" t="s">
        <v>402</v>
      </c>
      <c r="AX167" s="184" t="s">
        <v>403</v>
      </c>
    </row>
    <row r="168" spans="2:50" s="94" customFormat="1" ht="12.75">
      <c r="B168" s="126" t="s">
        <v>291</v>
      </c>
      <c r="C168" s="127"/>
      <c r="D168" s="128"/>
      <c r="E168" s="129"/>
      <c r="G168" s="216" t="s">
        <v>447</v>
      </c>
      <c r="H168" s="127"/>
      <c r="I168" s="135">
        <v>82799.82495999998</v>
      </c>
      <c r="J168" s="136">
        <v>5</v>
      </c>
      <c r="L168" s="132" t="s">
        <v>293</v>
      </c>
      <c r="M168" s="127"/>
      <c r="N168" s="130">
        <v>7.68</v>
      </c>
      <c r="O168" s="131">
        <v>567848.6927083334</v>
      </c>
      <c r="Q168" s="170"/>
      <c r="R168" s="242"/>
      <c r="S168" s="211"/>
      <c r="T168" s="212"/>
      <c r="V168" s="126" t="s">
        <v>239</v>
      </c>
      <c r="W168" s="127"/>
      <c r="X168" s="135">
        <v>1977</v>
      </c>
      <c r="Y168" s="136">
        <v>141.92912263760496</v>
      </c>
      <c r="AA168" s="126" t="s">
        <v>291</v>
      </c>
      <c r="AB168" s="127"/>
      <c r="AC168" s="128"/>
      <c r="AD168" s="129"/>
      <c r="AF168" s="132" t="s">
        <v>295</v>
      </c>
      <c r="AG168" s="231"/>
      <c r="AH168" s="258">
        <v>16.32</v>
      </c>
      <c r="AI168" s="134">
        <v>2676633</v>
      </c>
      <c r="AK168" s="126"/>
      <c r="AL168" s="242"/>
      <c r="AM168" s="211"/>
      <c r="AN168" s="212"/>
      <c r="AP168" s="126" t="s">
        <v>241</v>
      </c>
      <c r="AQ168" s="137"/>
      <c r="AR168" s="146">
        <v>1344</v>
      </c>
      <c r="AS168" s="147">
        <v>1</v>
      </c>
      <c r="AU168" s="126" t="s">
        <v>297</v>
      </c>
      <c r="AV168" s="127"/>
      <c r="AW168" s="135">
        <v>4968.37</v>
      </c>
      <c r="AX168" s="136">
        <v>22.228117684996672</v>
      </c>
    </row>
    <row r="169" spans="2:50" s="94" customFormat="1" ht="12.75">
      <c r="B169" s="126" t="s">
        <v>237</v>
      </c>
      <c r="C169" s="137"/>
      <c r="D169" s="138"/>
      <c r="E169" s="139"/>
      <c r="G169" s="216" t="s">
        <v>448</v>
      </c>
      <c r="H169" s="137"/>
      <c r="I169" s="144"/>
      <c r="J169" s="145">
        <v>0</v>
      </c>
      <c r="L169" s="126" t="s">
        <v>439</v>
      </c>
      <c r="M169" s="137"/>
      <c r="N169" s="140">
        <v>20.04</v>
      </c>
      <c r="O169" s="141">
        <v>1857065.6212574851</v>
      </c>
      <c r="Q169" s="170"/>
      <c r="R169" s="156"/>
      <c r="S169" s="213"/>
      <c r="T169" s="214"/>
      <c r="V169" s="126" t="s">
        <v>240</v>
      </c>
      <c r="W169" s="137"/>
      <c r="X169" s="144">
        <v>1977</v>
      </c>
      <c r="Y169" s="145">
        <v>12.863324596496064</v>
      </c>
      <c r="AA169" s="126" t="s">
        <v>237</v>
      </c>
      <c r="AB169" s="137"/>
      <c r="AC169" s="144"/>
      <c r="AD169" s="145"/>
      <c r="AF169" s="126" t="s">
        <v>300</v>
      </c>
      <c r="AG169" s="227"/>
      <c r="AH169" s="259">
        <v>25.2</v>
      </c>
      <c r="AI169" s="143">
        <v>79591.16375</v>
      </c>
      <c r="AK169" s="126"/>
      <c r="AL169" s="156"/>
      <c r="AM169" s="213"/>
      <c r="AN169" s="214"/>
      <c r="AP169" s="126" t="s">
        <v>243</v>
      </c>
      <c r="AQ169" s="137"/>
      <c r="AR169" s="146">
        <v>451.8</v>
      </c>
      <c r="AS169" s="147">
        <v>20.58</v>
      </c>
      <c r="AU169" s="126" t="s">
        <v>302</v>
      </c>
      <c r="AV169" s="137"/>
      <c r="AW169" s="146">
        <v>1632.46</v>
      </c>
      <c r="AX169" s="147">
        <v>171.8474578301416</v>
      </c>
    </row>
    <row r="170" spans="2:50" s="94" customFormat="1" ht="12.75">
      <c r="B170" s="126" t="s">
        <v>303</v>
      </c>
      <c r="C170" s="137"/>
      <c r="D170" s="138"/>
      <c r="E170" s="139"/>
      <c r="G170" s="216" t="s">
        <v>430</v>
      </c>
      <c r="H170" s="137"/>
      <c r="I170" s="148">
        <v>9510.251680341886</v>
      </c>
      <c r="J170" s="145">
        <v>39</v>
      </c>
      <c r="L170" s="126" t="s">
        <v>440</v>
      </c>
      <c r="M170" s="137"/>
      <c r="N170" s="149">
        <v>40.8</v>
      </c>
      <c r="O170" s="143">
        <v>76696.98235294118</v>
      </c>
      <c r="Q170" s="170"/>
      <c r="R170" s="156"/>
      <c r="S170" s="213"/>
      <c r="T170" s="214"/>
      <c r="V170" s="126" t="s">
        <v>241</v>
      </c>
      <c r="W170" s="137"/>
      <c r="X170" s="146">
        <v>1703</v>
      </c>
      <c r="Y170" s="147">
        <v>238.91972455025876</v>
      </c>
      <c r="AA170" s="126" t="s">
        <v>303</v>
      </c>
      <c r="AB170" s="137"/>
      <c r="AC170" s="144">
        <v>5423.960833319999</v>
      </c>
      <c r="AD170" s="145">
        <v>1.1422905779429162</v>
      </c>
      <c r="AF170" s="126" t="s">
        <v>308</v>
      </c>
      <c r="AG170" s="227"/>
      <c r="AH170" s="259">
        <v>30.6</v>
      </c>
      <c r="AI170" s="143">
        <v>38381.614708333334</v>
      </c>
      <c r="AK170" s="126"/>
      <c r="AL170" s="156"/>
      <c r="AM170" s="213"/>
      <c r="AN170" s="214"/>
      <c r="AP170" s="126" t="s">
        <v>244</v>
      </c>
      <c r="AQ170" s="137"/>
      <c r="AR170" s="151">
        <v>153.6</v>
      </c>
      <c r="AS170" s="152">
        <v>124.94</v>
      </c>
      <c r="AU170" s="126" t="s">
        <v>310</v>
      </c>
      <c r="AV170" s="137"/>
      <c r="AW170" s="146">
        <v>631.68</v>
      </c>
      <c r="AX170" s="147">
        <v>6.297071213796647</v>
      </c>
    </row>
    <row r="171" spans="2:50" s="94" customFormat="1" ht="12.75">
      <c r="B171" s="126" t="s">
        <v>311</v>
      </c>
      <c r="C171" s="137"/>
      <c r="D171" s="138"/>
      <c r="E171" s="139"/>
      <c r="G171" s="216" t="s">
        <v>449</v>
      </c>
      <c r="H171" s="137"/>
      <c r="I171" s="148">
        <v>35721.994999999995</v>
      </c>
      <c r="J171" s="145">
        <v>1</v>
      </c>
      <c r="L171" s="126" t="s">
        <v>441</v>
      </c>
      <c r="M171" s="137"/>
      <c r="N171" s="149">
        <v>40.8</v>
      </c>
      <c r="O171" s="143">
        <v>6770.0794117647065</v>
      </c>
      <c r="Q171" s="170"/>
      <c r="R171" s="156"/>
      <c r="S171" s="213"/>
      <c r="T171" s="214"/>
      <c r="V171" s="126" t="s">
        <v>243</v>
      </c>
      <c r="W171" s="137"/>
      <c r="X171" s="146">
        <v>629</v>
      </c>
      <c r="Y171" s="147">
        <v>9060.359108252638</v>
      </c>
      <c r="AA171" s="126" t="s">
        <v>314</v>
      </c>
      <c r="AB171" s="137"/>
      <c r="AC171" s="144">
        <v>1908.42</v>
      </c>
      <c r="AD171" s="145">
        <v>3.980248312493384</v>
      </c>
      <c r="AF171" s="126" t="s">
        <v>443</v>
      </c>
      <c r="AG171" s="227"/>
      <c r="AH171" s="260">
        <v>30.6</v>
      </c>
      <c r="AI171" s="152">
        <v>1626.8558333333333</v>
      </c>
      <c r="AK171" s="126"/>
      <c r="AL171" s="156"/>
      <c r="AM171" s="213"/>
      <c r="AN171" s="214"/>
      <c r="AP171" s="126" t="s">
        <v>245</v>
      </c>
      <c r="AQ171" s="137"/>
      <c r="AR171" s="151">
        <v>34.74</v>
      </c>
      <c r="AS171" s="152">
        <v>117.52</v>
      </c>
      <c r="AU171" s="126" t="s">
        <v>317</v>
      </c>
      <c r="AV171" s="137"/>
      <c r="AW171" s="146">
        <v>542.26</v>
      </c>
      <c r="AX171" s="147">
        <v>104.34776190056051</v>
      </c>
    </row>
    <row r="172" spans="2:50" s="94" customFormat="1" ht="12.75">
      <c r="B172" s="126" t="s">
        <v>318</v>
      </c>
      <c r="C172" s="137"/>
      <c r="D172" s="146">
        <v>369.03</v>
      </c>
      <c r="E172" s="147">
        <v>30.23076923076923</v>
      </c>
      <c r="G172" s="216" t="s">
        <v>397</v>
      </c>
      <c r="H172" s="137"/>
      <c r="I172" s="154">
        <v>1046.52</v>
      </c>
      <c r="J172" s="147">
        <v>352.71387755102035</v>
      </c>
      <c r="L172" s="126" t="s">
        <v>312</v>
      </c>
      <c r="M172" s="137"/>
      <c r="N172" s="151">
        <v>57.96</v>
      </c>
      <c r="O172" s="152">
        <v>14030.526570048309</v>
      </c>
      <c r="Q172" s="170"/>
      <c r="R172" s="156"/>
      <c r="S172" s="213"/>
      <c r="T172" s="214"/>
      <c r="V172" s="126" t="s">
        <v>244</v>
      </c>
      <c r="W172" s="137"/>
      <c r="X172" s="151">
        <v>158</v>
      </c>
      <c r="Y172" s="152">
        <v>28448.35642692751</v>
      </c>
      <c r="AA172" s="126" t="s">
        <v>409</v>
      </c>
      <c r="AB172" s="137"/>
      <c r="AC172" s="146">
        <v>632.34</v>
      </c>
      <c r="AD172" s="147">
        <v>575.3418464477035</v>
      </c>
      <c r="AF172" s="126" t="s">
        <v>315</v>
      </c>
      <c r="AG172" s="227"/>
      <c r="AH172" s="260">
        <v>110.04</v>
      </c>
      <c r="AI172" s="152">
        <v>7622.670833333334</v>
      </c>
      <c r="AK172" s="126"/>
      <c r="AL172" s="156"/>
      <c r="AM172" s="213"/>
      <c r="AN172" s="214"/>
      <c r="AP172" s="126" t="s">
        <v>247</v>
      </c>
      <c r="AQ172" s="137"/>
      <c r="AR172" s="149">
        <v>34.74</v>
      </c>
      <c r="AS172" s="143">
        <v>1154.1</v>
      </c>
      <c r="AU172" s="126" t="s">
        <v>327</v>
      </c>
      <c r="AV172" s="137"/>
      <c r="AW172" s="146">
        <v>361.98</v>
      </c>
      <c r="AX172" s="147">
        <v>152.1830363596786</v>
      </c>
    </row>
    <row r="173" spans="2:50" s="94" customFormat="1" ht="12.75">
      <c r="B173" s="126" t="s">
        <v>328</v>
      </c>
      <c r="C173" s="137"/>
      <c r="D173" s="151">
        <v>322.63</v>
      </c>
      <c r="E173" s="152">
        <v>209.23076923076923</v>
      </c>
      <c r="G173" s="216" t="s">
        <v>432</v>
      </c>
      <c r="H173" s="137"/>
      <c r="I173" s="151">
        <v>151.44</v>
      </c>
      <c r="J173" s="152">
        <v>1367.288866213152</v>
      </c>
      <c r="L173" s="126" t="s">
        <v>320</v>
      </c>
      <c r="M173" s="137"/>
      <c r="N173" s="146">
        <v>521.28</v>
      </c>
      <c r="O173" s="147">
        <v>4766.599505064458</v>
      </c>
      <c r="Q173" s="170"/>
      <c r="R173" s="156"/>
      <c r="S173" s="213"/>
      <c r="T173" s="214"/>
      <c r="V173" s="126" t="s">
        <v>245</v>
      </c>
      <c r="W173" s="137"/>
      <c r="X173" s="151">
        <v>158</v>
      </c>
      <c r="Y173" s="152">
        <v>5993.2147008055235</v>
      </c>
      <c r="AA173" s="126" t="s">
        <v>410</v>
      </c>
      <c r="AB173" s="137"/>
      <c r="AC173" s="151">
        <v>220</v>
      </c>
      <c r="AD173" s="152">
        <v>742.8360093164525</v>
      </c>
      <c r="AF173" s="126" t="s">
        <v>324</v>
      </c>
      <c r="AG173" s="227"/>
      <c r="AH173" s="260">
        <v>123</v>
      </c>
      <c r="AI173" s="152">
        <v>5181.394666666667</v>
      </c>
      <c r="AK173" s="126"/>
      <c r="AL173" s="156"/>
      <c r="AM173" s="213"/>
      <c r="AN173" s="214"/>
      <c r="AP173" s="126" t="s">
        <v>250</v>
      </c>
      <c r="AQ173" s="137"/>
      <c r="AR173" s="140">
        <v>21.42</v>
      </c>
      <c r="AS173" s="141">
        <v>18560.3</v>
      </c>
      <c r="AU173" s="126" t="s">
        <v>337</v>
      </c>
      <c r="AV173" s="137"/>
      <c r="AW173" s="151">
        <v>178.86</v>
      </c>
      <c r="AX173" s="152">
        <v>94.38686617242885</v>
      </c>
    </row>
    <row r="174" spans="2:50" s="94" customFormat="1" ht="12.75">
      <c r="B174" s="126" t="s">
        <v>338</v>
      </c>
      <c r="C174" s="137"/>
      <c r="D174" s="151">
        <v>16.15</v>
      </c>
      <c r="E174" s="152">
        <v>301.3076923076923</v>
      </c>
      <c r="G174" s="216" t="s">
        <v>433</v>
      </c>
      <c r="H174" s="137"/>
      <c r="I174" s="151">
        <v>36.24</v>
      </c>
      <c r="J174" s="152">
        <v>338.2083333333333</v>
      </c>
      <c r="L174" s="126" t="s">
        <v>330</v>
      </c>
      <c r="M174" s="137"/>
      <c r="N174" s="146">
        <v>1236</v>
      </c>
      <c r="O174" s="147">
        <v>49.83063176137248</v>
      </c>
      <c r="Q174" s="170"/>
      <c r="R174" s="156"/>
      <c r="S174" s="213"/>
      <c r="T174" s="214"/>
      <c r="V174" s="126" t="s">
        <v>247</v>
      </c>
      <c r="W174" s="137"/>
      <c r="X174" s="149">
        <v>33.3</v>
      </c>
      <c r="Y174" s="143">
        <v>67416.6520293126</v>
      </c>
      <c r="AA174" s="126" t="s">
        <v>341</v>
      </c>
      <c r="AB174" s="137"/>
      <c r="AC174" s="151">
        <v>0</v>
      </c>
      <c r="AD174" s="152">
        <v>0</v>
      </c>
      <c r="AF174" s="126" t="s">
        <v>334</v>
      </c>
      <c r="AG174" s="92"/>
      <c r="AH174" s="261">
        <v>507</v>
      </c>
      <c r="AI174" s="147">
        <v>9872.848958333332</v>
      </c>
      <c r="AK174" s="126"/>
      <c r="AL174" s="156"/>
      <c r="AM174" s="213"/>
      <c r="AN174" s="214"/>
      <c r="AP174" s="126" t="s">
        <v>251</v>
      </c>
      <c r="AQ174" s="137"/>
      <c r="AR174" s="140">
        <v>21.42</v>
      </c>
      <c r="AS174" s="141">
        <v>10723.8</v>
      </c>
      <c r="AU174" s="126" t="s">
        <v>346</v>
      </c>
      <c r="AV174" s="137"/>
      <c r="AW174" s="151">
        <v>178.86</v>
      </c>
      <c r="AX174" s="152">
        <v>4.987651177018996</v>
      </c>
    </row>
    <row r="175" spans="2:50" s="94" customFormat="1" ht="12.75">
      <c r="B175" s="126" t="s">
        <v>347</v>
      </c>
      <c r="C175" s="137"/>
      <c r="D175" s="149">
        <v>13.46</v>
      </c>
      <c r="E175" s="143">
        <v>1143</v>
      </c>
      <c r="G175" s="216" t="s">
        <v>434</v>
      </c>
      <c r="H175" s="137"/>
      <c r="I175" s="149">
        <v>36.24</v>
      </c>
      <c r="J175" s="143">
        <v>5778.166666666667</v>
      </c>
      <c r="L175" s="256" t="s">
        <v>340</v>
      </c>
      <c r="M175" s="228"/>
      <c r="N175" s="267">
        <v>6966.96</v>
      </c>
      <c r="O175" s="234">
        <v>133.85650974642363</v>
      </c>
      <c r="Q175" s="170"/>
      <c r="R175" s="156"/>
      <c r="S175" s="213"/>
      <c r="T175" s="214"/>
      <c r="V175" s="126" t="s">
        <v>248</v>
      </c>
      <c r="W175" s="137"/>
      <c r="X175" s="149">
        <v>33.3</v>
      </c>
      <c r="Y175" s="143">
        <v>0</v>
      </c>
      <c r="AA175" s="126" t="s">
        <v>411</v>
      </c>
      <c r="AB175" s="137"/>
      <c r="AC175" s="149">
        <v>14.3</v>
      </c>
      <c r="AD175" s="143">
        <v>838.3597202843665</v>
      </c>
      <c r="AF175" s="126" t="s">
        <v>343</v>
      </c>
      <c r="AG175" s="227"/>
      <c r="AH175" s="261">
        <v>936</v>
      </c>
      <c r="AI175" s="147">
        <v>152.602375</v>
      </c>
      <c r="AK175" s="126"/>
      <c r="AL175" s="156"/>
      <c r="AM175" s="213"/>
      <c r="AN175" s="214"/>
      <c r="AP175" s="126" t="s">
        <v>257</v>
      </c>
      <c r="AQ175" s="137"/>
      <c r="AR175" s="167">
        <v>10.62</v>
      </c>
      <c r="AS175" s="164">
        <v>17798</v>
      </c>
      <c r="AU175" s="126" t="s">
        <v>355</v>
      </c>
      <c r="AV175" s="137"/>
      <c r="AW175" s="151">
        <v>136.28</v>
      </c>
      <c r="AX175" s="152">
        <v>17.683101618193547</v>
      </c>
    </row>
    <row r="176" spans="2:50" s="94" customFormat="1" ht="12.75">
      <c r="B176" s="126" t="s">
        <v>356</v>
      </c>
      <c r="C176" s="137"/>
      <c r="D176" s="149">
        <v>13.46</v>
      </c>
      <c r="E176" s="143">
        <v>495</v>
      </c>
      <c r="G176" s="216" t="s">
        <v>435</v>
      </c>
      <c r="H176" s="137"/>
      <c r="I176" s="149">
        <v>36.24</v>
      </c>
      <c r="J176" s="143">
        <v>2421.6666666666665</v>
      </c>
      <c r="L176" s="181"/>
      <c r="M176" s="218"/>
      <c r="N176" s="218"/>
      <c r="O176" s="229"/>
      <c r="Q176" s="170"/>
      <c r="R176" s="156"/>
      <c r="S176" s="213"/>
      <c r="T176" s="214"/>
      <c r="V176" s="126" t="s">
        <v>250</v>
      </c>
      <c r="W176" s="137"/>
      <c r="X176" s="140">
        <v>29.2</v>
      </c>
      <c r="Y176" s="141">
        <v>1098910.750380679</v>
      </c>
      <c r="AA176" s="126" t="s">
        <v>412</v>
      </c>
      <c r="AB176" s="137"/>
      <c r="AC176" s="149">
        <v>14.3</v>
      </c>
      <c r="AD176" s="143">
        <v>2612.00896494089</v>
      </c>
      <c r="AF176" s="126" t="s">
        <v>415</v>
      </c>
      <c r="AG176" s="227"/>
      <c r="AH176" s="261">
        <v>1494</v>
      </c>
      <c r="AI176" s="147">
        <v>2039.6217916666667</v>
      </c>
      <c r="AK176" s="126"/>
      <c r="AL176" s="156"/>
      <c r="AM176" s="213"/>
      <c r="AN176" s="214"/>
      <c r="AP176" s="181"/>
      <c r="AQ176" s="182"/>
      <c r="AR176" s="232"/>
      <c r="AS176" s="218"/>
      <c r="AU176" s="126" t="s">
        <v>364</v>
      </c>
      <c r="AV176" s="137"/>
      <c r="AW176" s="151">
        <v>136.28</v>
      </c>
      <c r="AX176" s="152">
        <v>148.04390462567738</v>
      </c>
    </row>
    <row r="177" spans="2:50" s="94" customFormat="1" ht="12.75">
      <c r="B177" s="126" t="s">
        <v>365</v>
      </c>
      <c r="C177" s="137"/>
      <c r="D177" s="140">
        <v>13.46</v>
      </c>
      <c r="E177" s="141">
        <v>31424</v>
      </c>
      <c r="G177" s="216" t="s">
        <v>436</v>
      </c>
      <c r="H177" s="137"/>
      <c r="I177" s="140">
        <v>21.96</v>
      </c>
      <c r="J177" s="141">
        <v>74148.00000000001</v>
      </c>
      <c r="Q177" s="170"/>
      <c r="R177" s="156"/>
      <c r="S177" s="213"/>
      <c r="T177" s="214"/>
      <c r="V177" s="126" t="s">
        <v>251</v>
      </c>
      <c r="W177" s="137"/>
      <c r="X177" s="140">
        <v>29.2</v>
      </c>
      <c r="Y177" s="141">
        <v>1351759.2515386336</v>
      </c>
      <c r="AA177" s="126" t="s">
        <v>413</v>
      </c>
      <c r="AB177" s="137"/>
      <c r="AC177" s="140">
        <v>14.3</v>
      </c>
      <c r="AD177" s="141">
        <v>7479.315668650376</v>
      </c>
      <c r="AF177" s="126" t="s">
        <v>361</v>
      </c>
      <c r="AG177" s="227"/>
      <c r="AH177" s="262">
        <v>6600</v>
      </c>
      <c r="AI177" s="145">
        <v>110.55579166666666</v>
      </c>
      <c r="AK177" s="126"/>
      <c r="AL177" s="156"/>
      <c r="AM177" s="213"/>
      <c r="AN177" s="214"/>
      <c r="AU177" s="126" t="s">
        <v>373</v>
      </c>
      <c r="AV177" s="137"/>
      <c r="AW177" s="151">
        <v>131.58</v>
      </c>
      <c r="AX177" s="152">
        <v>92.44863724202646</v>
      </c>
    </row>
    <row r="178" spans="2:50" s="94" customFormat="1" ht="12.75">
      <c r="B178" s="126" t="s">
        <v>374</v>
      </c>
      <c r="C178" s="137"/>
      <c r="D178" s="140">
        <v>13.46</v>
      </c>
      <c r="E178" s="141">
        <v>18390</v>
      </c>
      <c r="G178" s="216" t="s">
        <v>437</v>
      </c>
      <c r="H178" s="137"/>
      <c r="I178" s="140">
        <v>21.96</v>
      </c>
      <c r="J178" s="141">
        <v>117251.58333333334</v>
      </c>
      <c r="Q178" s="170"/>
      <c r="R178" s="156"/>
      <c r="S178" s="213"/>
      <c r="T178" s="214"/>
      <c r="V178" s="126" t="s">
        <v>450</v>
      </c>
      <c r="W178" s="137"/>
      <c r="X178" s="167">
        <v>3.53</v>
      </c>
      <c r="Y178" s="164">
        <v>1045520.4078441673</v>
      </c>
      <c r="AA178" s="126" t="s">
        <v>414</v>
      </c>
      <c r="AB178" s="137"/>
      <c r="AC178" s="140">
        <v>14.3</v>
      </c>
      <c r="AD178" s="141">
        <v>90128.56283429553</v>
      </c>
      <c r="AF178" s="126" t="s">
        <v>370</v>
      </c>
      <c r="AG178" s="227"/>
      <c r="AH178" s="262">
        <v>9612</v>
      </c>
      <c r="AI178" s="145">
        <v>71.040625</v>
      </c>
      <c r="AK178" s="126"/>
      <c r="AL178" s="156"/>
      <c r="AM178" s="213"/>
      <c r="AN178" s="214"/>
      <c r="AU178" s="126" t="s">
        <v>382</v>
      </c>
      <c r="AV178" s="137"/>
      <c r="AW178" s="151">
        <v>123.78</v>
      </c>
      <c r="AX178" s="152">
        <v>523.6875869596286</v>
      </c>
    </row>
    <row r="179" spans="2:50" s="94" customFormat="1" ht="12.75">
      <c r="B179" s="126" t="s">
        <v>383</v>
      </c>
      <c r="C179" s="137"/>
      <c r="D179" s="165">
        <v>4.7</v>
      </c>
      <c r="E179" s="166">
        <v>22222</v>
      </c>
      <c r="G179" s="216" t="s">
        <v>438</v>
      </c>
      <c r="H179" s="137"/>
      <c r="I179" s="167">
        <v>2.28</v>
      </c>
      <c r="J179" s="164">
        <v>84304.74999999999</v>
      </c>
      <c r="Q179" s="170"/>
      <c r="R179" s="156"/>
      <c r="S179" s="213"/>
      <c r="T179" s="214"/>
      <c r="V179" s="157"/>
      <c r="W179" s="158"/>
      <c r="X179" s="159"/>
      <c r="Y179" s="160"/>
      <c r="AA179" s="126" t="s">
        <v>387</v>
      </c>
      <c r="AB179" s="137"/>
      <c r="AC179" s="167">
        <v>6.75</v>
      </c>
      <c r="AD179" s="164">
        <v>43726.64362609061</v>
      </c>
      <c r="AF179" s="126" t="s">
        <v>379</v>
      </c>
      <c r="AG179" s="195"/>
      <c r="AH179" s="263">
        <v>8.4</v>
      </c>
      <c r="AI179" s="164">
        <v>724532</v>
      </c>
      <c r="AK179" s="126"/>
      <c r="AL179" s="156"/>
      <c r="AM179" s="213"/>
      <c r="AN179" s="214"/>
      <c r="AP179" s="92"/>
      <c r="AQ179" s="92"/>
      <c r="AR179" s="201"/>
      <c r="AS179" s="91"/>
      <c r="AU179" s="126" t="s">
        <v>390</v>
      </c>
      <c r="AV179" s="137"/>
      <c r="AW179" s="149">
        <v>49.27</v>
      </c>
      <c r="AX179" s="143">
        <v>733.2883042680365</v>
      </c>
    </row>
    <row r="180" spans="2:50" s="94" customFormat="1" ht="12.75">
      <c r="B180" s="157"/>
      <c r="C180" s="158"/>
      <c r="D180" s="159"/>
      <c r="E180" s="160"/>
      <c r="G180" s="157"/>
      <c r="H180" s="158"/>
      <c r="I180" s="159"/>
      <c r="J180" s="160"/>
      <c r="Q180" s="157"/>
      <c r="R180" s="158"/>
      <c r="S180" s="159"/>
      <c r="T180" s="160"/>
      <c r="AA180" s="157"/>
      <c r="AB180" s="158"/>
      <c r="AC180" s="159"/>
      <c r="AD180" s="169"/>
      <c r="AF180" s="264"/>
      <c r="AG180" s="182"/>
      <c r="AH180" s="232"/>
      <c r="AI180" s="218"/>
      <c r="AK180" s="157"/>
      <c r="AL180" s="158"/>
      <c r="AM180" s="159"/>
      <c r="AN180" s="160"/>
      <c r="AP180" s="92"/>
      <c r="AQ180" s="92"/>
      <c r="AR180" s="230"/>
      <c r="AS180" s="91"/>
      <c r="AU180" s="170" t="s">
        <v>391</v>
      </c>
      <c r="AV180" s="156"/>
      <c r="AW180" s="149">
        <v>49.27</v>
      </c>
      <c r="AX180" s="143">
        <v>826.908680538804</v>
      </c>
    </row>
    <row r="181" spans="47:50" ht="12.75">
      <c r="AU181" s="170" t="s">
        <v>392</v>
      </c>
      <c r="AV181" s="156"/>
      <c r="AW181" s="149">
        <v>49.27</v>
      </c>
      <c r="AX181" s="143">
        <v>1044.2947692096943</v>
      </c>
    </row>
    <row r="182" spans="27:50" ht="12.75">
      <c r="AA182" s="203"/>
      <c r="AU182" s="170" t="s">
        <v>393</v>
      </c>
      <c r="AV182" s="156"/>
      <c r="AW182" s="149">
        <v>14.61</v>
      </c>
      <c r="AX182" s="143">
        <v>1858.2466456202458</v>
      </c>
    </row>
    <row r="183" spans="47:50" ht="12.75">
      <c r="AU183" s="170" t="s">
        <v>396</v>
      </c>
      <c r="AV183" s="156"/>
      <c r="AW183" s="140">
        <v>13.08</v>
      </c>
      <c r="AX183" s="141">
        <v>46847.392231118494</v>
      </c>
    </row>
    <row r="184" spans="47:50" ht="12.75">
      <c r="AU184" s="170" t="s">
        <v>399</v>
      </c>
      <c r="AV184" s="156"/>
      <c r="AW184" s="167">
        <v>2.48</v>
      </c>
      <c r="AX184" s="164">
        <v>23983.016129032258</v>
      </c>
    </row>
    <row r="185" spans="47:50" ht="12.75">
      <c r="AU185" s="157"/>
      <c r="AV185" s="158"/>
      <c r="AW185" s="159"/>
      <c r="AX185" s="160"/>
    </row>
    <row r="186" spans="2:50" s="94" customFormat="1" ht="12.75">
      <c r="B186" s="217" t="s">
        <v>451</v>
      </c>
      <c r="C186" s="182"/>
      <c r="D186" s="219">
        <f>SUMPRODUCT(D168:D184,E168:E184)</f>
        <v>880513.6230769232</v>
      </c>
      <c r="G186" s="217" t="s">
        <v>451</v>
      </c>
      <c r="H186" s="182"/>
      <c r="I186" s="219">
        <f>SUMPRODUCT(I168:I184,J168:J184)</f>
        <v>6101573.598367347</v>
      </c>
      <c r="L186" s="217" t="s">
        <v>451</v>
      </c>
      <c r="M186" s="182"/>
      <c r="N186" s="219">
        <f>SUMPRODUCT(N168:N184,O168:O184)</f>
        <v>49274235.050000004</v>
      </c>
      <c r="Q186" s="217" t="s">
        <v>451</v>
      </c>
      <c r="R186" s="182"/>
      <c r="S186" s="219">
        <f>SUMPRODUCT(S168:S184,T168:T184)</f>
        <v>0</v>
      </c>
      <c r="V186" s="217" t="s">
        <v>451</v>
      </c>
      <c r="W186" s="182"/>
      <c r="X186" s="219">
        <f>SUMPRODUCT(X168:X184,Y168:Y184)</f>
        <v>89348864.68467358</v>
      </c>
      <c r="AA186" s="217" t="s">
        <v>451</v>
      </c>
      <c r="AB186" s="182"/>
      <c r="AC186" s="219">
        <f>SUMPRODUCT(AC168:AC184,AD168:AD184)</f>
        <v>2281315.0893388814</v>
      </c>
      <c r="AF186" s="217" t="s">
        <v>451</v>
      </c>
      <c r="AG186" s="182"/>
      <c r="AH186" s="219">
        <f>SUMPRODUCT(AH168:AH184,AI168:AI184)</f>
        <v>64082862.0417</v>
      </c>
      <c r="AK186" s="217" t="s">
        <v>451</v>
      </c>
      <c r="AL186" s="182"/>
      <c r="AM186" s="219">
        <f>SUMPRODUCT(AM168:AM184,AN168:AN184)</f>
        <v>0</v>
      </c>
      <c r="AP186" s="217" t="s">
        <v>451</v>
      </c>
      <c r="AQ186" s="182"/>
      <c r="AR186" s="219">
        <f>SUMPRODUCT(AR168:AR184,AS168:AS184)</f>
        <v>890289.0888</v>
      </c>
      <c r="AU186" s="217" t="s">
        <v>451</v>
      </c>
      <c r="AV186" s="182"/>
      <c r="AW186" s="219">
        <f>SUMPRODUCT(AW168:AW184,AX168:AX184)</f>
        <v>1451680.0872681472</v>
      </c>
      <c r="AX186" s="91"/>
    </row>
    <row r="187" ht="12.75">
      <c r="AU187" s="203"/>
    </row>
    <row r="188" spans="1:12" s="199" customFormat="1" ht="12.75">
      <c r="A188" s="199" t="s">
        <v>467</v>
      </c>
      <c r="B188" s="83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</row>
    <row r="189" s="94" customFormat="1" ht="12.75"/>
    <row r="190" spans="2:47" s="94" customFormat="1" ht="12.75">
      <c r="B190" s="171" t="s">
        <v>146</v>
      </c>
      <c r="G190" s="171" t="s">
        <v>29</v>
      </c>
      <c r="L190" s="171" t="s">
        <v>147</v>
      </c>
      <c r="Q190" s="171" t="s">
        <v>288</v>
      </c>
      <c r="V190" s="171" t="s">
        <v>148</v>
      </c>
      <c r="AA190" s="171" t="s">
        <v>149</v>
      </c>
      <c r="AF190" s="171" t="s">
        <v>150</v>
      </c>
      <c r="AK190" s="171" t="s">
        <v>195</v>
      </c>
      <c r="AP190" s="171" t="s">
        <v>151</v>
      </c>
      <c r="AU190" s="171" t="s">
        <v>30</v>
      </c>
    </row>
    <row r="191" spans="2:50" s="94" customFormat="1" ht="12.75">
      <c r="B191" s="181"/>
      <c r="C191" s="182"/>
      <c r="D191" s="183" t="s">
        <v>402</v>
      </c>
      <c r="E191" s="184" t="s">
        <v>403</v>
      </c>
      <c r="G191" s="181"/>
      <c r="H191" s="182"/>
      <c r="I191" s="183" t="s">
        <v>402</v>
      </c>
      <c r="J191" s="184" t="s">
        <v>403</v>
      </c>
      <c r="L191" s="181"/>
      <c r="M191" s="182"/>
      <c r="N191" s="183" t="s">
        <v>402</v>
      </c>
      <c r="O191" s="184" t="s">
        <v>403</v>
      </c>
      <c r="Q191" s="181"/>
      <c r="R191" s="220"/>
      <c r="S191" s="269"/>
      <c r="T191" s="270"/>
      <c r="V191" s="181"/>
      <c r="W191" s="182"/>
      <c r="X191" s="183" t="s">
        <v>402</v>
      </c>
      <c r="Y191" s="184" t="s">
        <v>403</v>
      </c>
      <c r="AA191" s="181"/>
      <c r="AB191" s="182"/>
      <c r="AC191" s="183" t="s">
        <v>402</v>
      </c>
      <c r="AD191" s="184" t="s">
        <v>403</v>
      </c>
      <c r="AF191" s="181"/>
      <c r="AG191" s="182"/>
      <c r="AH191" s="183" t="s">
        <v>402</v>
      </c>
      <c r="AI191" s="184" t="s">
        <v>403</v>
      </c>
      <c r="AK191" s="181"/>
      <c r="AL191" s="182"/>
      <c r="AM191" s="183"/>
      <c r="AN191" s="184"/>
      <c r="AP191" s="181"/>
      <c r="AQ191" s="182"/>
      <c r="AR191" s="183" t="s">
        <v>402</v>
      </c>
      <c r="AS191" s="184" t="s">
        <v>403</v>
      </c>
      <c r="AU191" s="181"/>
      <c r="AV191" s="182"/>
      <c r="AW191" s="183" t="s">
        <v>402</v>
      </c>
      <c r="AX191" s="184" t="s">
        <v>403</v>
      </c>
    </row>
    <row r="192" spans="2:50" s="94" customFormat="1" ht="12.75">
      <c r="B192" s="175" t="s">
        <v>404</v>
      </c>
      <c r="C192" s="96"/>
      <c r="D192" s="185">
        <f>D179</f>
        <v>4.7</v>
      </c>
      <c r="E192" s="186">
        <f>E179</f>
        <v>22222</v>
      </c>
      <c r="G192" s="175" t="s">
        <v>404</v>
      </c>
      <c r="H192" s="96"/>
      <c r="I192" s="185">
        <f>I179</f>
        <v>2.28</v>
      </c>
      <c r="J192" s="186">
        <f>J179</f>
        <v>84304.74999999999</v>
      </c>
      <c r="L192" s="175" t="s">
        <v>404</v>
      </c>
      <c r="M192" s="96"/>
      <c r="N192" s="185">
        <f>N168</f>
        <v>7.68</v>
      </c>
      <c r="O192" s="186">
        <f>O168</f>
        <v>567848.6927083334</v>
      </c>
      <c r="Q192" s="175"/>
      <c r="R192" s="31"/>
      <c r="S192" s="271"/>
      <c r="T192" s="272"/>
      <c r="V192" s="175" t="s">
        <v>404</v>
      </c>
      <c r="W192" s="96"/>
      <c r="X192" s="185">
        <f>X178</f>
        <v>3.53</v>
      </c>
      <c r="Y192" s="186">
        <f>Y178</f>
        <v>1045520.4078441673</v>
      </c>
      <c r="AA192" s="175" t="s">
        <v>404</v>
      </c>
      <c r="AB192" s="96"/>
      <c r="AC192" s="185">
        <f>AC179</f>
        <v>6.75</v>
      </c>
      <c r="AD192" s="186">
        <f>AD179</f>
        <v>43726.64362609061</v>
      </c>
      <c r="AF192" s="175" t="s">
        <v>404</v>
      </c>
      <c r="AG192" s="96"/>
      <c r="AH192" s="185">
        <f>AH179</f>
        <v>8.4</v>
      </c>
      <c r="AI192" s="186">
        <f>AI179</f>
        <v>724532</v>
      </c>
      <c r="AK192" s="175"/>
      <c r="AL192" s="31"/>
      <c r="AM192" s="271"/>
      <c r="AN192" s="272"/>
      <c r="AP192" s="175" t="s">
        <v>404</v>
      </c>
      <c r="AQ192" s="96"/>
      <c r="AR192" s="185">
        <f>AR175</f>
        <v>10.62</v>
      </c>
      <c r="AS192" s="186">
        <f>AS175</f>
        <v>17798</v>
      </c>
      <c r="AU192" s="175" t="s">
        <v>404</v>
      </c>
      <c r="AV192" s="96"/>
      <c r="AW192" s="185">
        <f>AW184</f>
        <v>2.48</v>
      </c>
      <c r="AX192" s="186">
        <f>AX184</f>
        <v>23983.016129032258</v>
      </c>
    </row>
    <row r="193" spans="2:50" s="94" customFormat="1" ht="12.75">
      <c r="B193" s="175" t="s">
        <v>405</v>
      </c>
      <c r="C193" s="96"/>
      <c r="D193" s="187">
        <f>D177</f>
        <v>13.46</v>
      </c>
      <c r="E193" s="188">
        <f>E177+E178</f>
        <v>49814</v>
      </c>
      <c r="G193" s="175" t="s">
        <v>405</v>
      </c>
      <c r="H193" s="96"/>
      <c r="I193" s="187">
        <f>I178</f>
        <v>21.96</v>
      </c>
      <c r="J193" s="188">
        <f>J177+J178</f>
        <v>191399.58333333337</v>
      </c>
      <c r="L193" s="175" t="s">
        <v>405</v>
      </c>
      <c r="M193" s="96"/>
      <c r="N193" s="187">
        <f>N169</f>
        <v>20.04</v>
      </c>
      <c r="O193" s="188">
        <f>O169</f>
        <v>1857065.6212574851</v>
      </c>
      <c r="Q193" s="175"/>
      <c r="R193" s="31"/>
      <c r="S193" s="273"/>
      <c r="T193" s="274"/>
      <c r="V193" s="175" t="s">
        <v>405</v>
      </c>
      <c r="W193" s="96"/>
      <c r="X193" s="187">
        <f>X177</f>
        <v>29.2</v>
      </c>
      <c r="Y193" s="188">
        <f>Y177+Y176</f>
        <v>2450670.0019193124</v>
      </c>
      <c r="AA193" s="175" t="s">
        <v>405</v>
      </c>
      <c r="AB193" s="96"/>
      <c r="AC193" s="187">
        <f>AC177</f>
        <v>14.3</v>
      </c>
      <c r="AD193" s="188">
        <f>AD177+AD178</f>
        <v>97607.87850294591</v>
      </c>
      <c r="AF193" s="175" t="s">
        <v>405</v>
      </c>
      <c r="AG193" s="96"/>
      <c r="AH193" s="187">
        <f>AH168</f>
        <v>16.32</v>
      </c>
      <c r="AI193" s="188">
        <f>AI168</f>
        <v>2676633</v>
      </c>
      <c r="AK193" s="175"/>
      <c r="AL193" s="31"/>
      <c r="AM193" s="273"/>
      <c r="AN193" s="274"/>
      <c r="AP193" s="175" t="s">
        <v>405</v>
      </c>
      <c r="AQ193" s="96"/>
      <c r="AR193" s="187">
        <f>AR174</f>
        <v>21.42</v>
      </c>
      <c r="AS193" s="188">
        <f>AS173+AS174</f>
        <v>29284.1</v>
      </c>
      <c r="AU193" s="175" t="s">
        <v>405</v>
      </c>
      <c r="AV193" s="96"/>
      <c r="AW193" s="187">
        <f>AW183</f>
        <v>13.08</v>
      </c>
      <c r="AX193" s="188">
        <f>AX183</f>
        <v>46847.392231118494</v>
      </c>
    </row>
    <row r="194" spans="2:50" s="94" customFormat="1" ht="12.75">
      <c r="B194" s="175" t="s">
        <v>406</v>
      </c>
      <c r="C194" s="96"/>
      <c r="D194" s="189">
        <f>D175</f>
        <v>13.46</v>
      </c>
      <c r="E194" s="190">
        <f>E175+E176</f>
        <v>1638</v>
      </c>
      <c r="G194" s="175" t="s">
        <v>406</v>
      </c>
      <c r="H194" s="96"/>
      <c r="I194" s="189">
        <f>I175</f>
        <v>36.24</v>
      </c>
      <c r="J194" s="190">
        <f>J175+J176</f>
        <v>8199.833333333334</v>
      </c>
      <c r="L194" s="175" t="s">
        <v>406</v>
      </c>
      <c r="M194" s="96"/>
      <c r="N194" s="189">
        <f>SUMPRODUCT(N170:N171,O170:O171)/SUM(O170:O171)</f>
        <v>40.800000000000004</v>
      </c>
      <c r="O194" s="190">
        <f>SUM(O170:O171)</f>
        <v>83467.06176470588</v>
      </c>
      <c r="Q194" s="175"/>
      <c r="R194" s="31"/>
      <c r="S194" s="273"/>
      <c r="T194" s="274"/>
      <c r="V194" s="175" t="s">
        <v>406</v>
      </c>
      <c r="W194" s="96"/>
      <c r="X194" s="189">
        <f>X175</f>
        <v>33.3</v>
      </c>
      <c r="Y194" s="190">
        <f>Y175+Y174</f>
        <v>67416.6520293126</v>
      </c>
      <c r="AA194" s="175" t="s">
        <v>406</v>
      </c>
      <c r="AB194" s="96"/>
      <c r="AC194" s="189">
        <f>AC175</f>
        <v>14.3</v>
      </c>
      <c r="AD194" s="190">
        <f>AD175+AD176</f>
        <v>3450.3686852252567</v>
      </c>
      <c r="AF194" s="175" t="s">
        <v>406</v>
      </c>
      <c r="AG194" s="96"/>
      <c r="AH194" s="189">
        <f>(AH169*AI169+AH170*AI170)/(AI169+AI170)</f>
        <v>26.956852064802405</v>
      </c>
      <c r="AI194" s="190">
        <f>AI169+AI170</f>
        <v>117972.77845833334</v>
      </c>
      <c r="AK194" s="175"/>
      <c r="AL194" s="31"/>
      <c r="AM194" s="273"/>
      <c r="AN194" s="274"/>
      <c r="AP194" s="175" t="s">
        <v>406</v>
      </c>
      <c r="AQ194" s="96"/>
      <c r="AR194" s="189">
        <f>AR172</f>
        <v>34.74</v>
      </c>
      <c r="AS194" s="190">
        <f>AS172</f>
        <v>1154.1</v>
      </c>
      <c r="AU194" s="175" t="s">
        <v>406</v>
      </c>
      <c r="AV194" s="96"/>
      <c r="AW194" s="189">
        <f>SUMPRODUCT(AW179:AW182,AX179:AX182)/SUM(AX179:AX182)</f>
        <v>34.83786820790577</v>
      </c>
      <c r="AX194" s="190">
        <f>SUM(AX179:AX182)</f>
        <v>4462.738399636781</v>
      </c>
    </row>
    <row r="195" spans="2:50" s="94" customFormat="1" ht="12.75">
      <c r="B195" s="175" t="s">
        <v>394</v>
      </c>
      <c r="C195" s="96"/>
      <c r="D195" s="191">
        <f>(D174*E174+D173*E173)/(E173+E174)</f>
        <v>141.7527723368992</v>
      </c>
      <c r="E195" s="192">
        <f>E174+E173</f>
        <v>510.53846153846155</v>
      </c>
      <c r="G195" s="175" t="s">
        <v>394</v>
      </c>
      <c r="H195" s="96"/>
      <c r="I195" s="191">
        <f>(I173*J173+I174*J174)/(J173+J174)</f>
        <v>128.59528350890264</v>
      </c>
      <c r="J195" s="192">
        <f>J173+J174</f>
        <v>1705.4971995464853</v>
      </c>
      <c r="L195" s="175" t="s">
        <v>394</v>
      </c>
      <c r="M195" s="96"/>
      <c r="N195" s="191">
        <f>N172</f>
        <v>57.96</v>
      </c>
      <c r="O195" s="192">
        <f>O172</f>
        <v>14030.526570048309</v>
      </c>
      <c r="Q195" s="175"/>
      <c r="R195" s="31"/>
      <c r="S195" s="273"/>
      <c r="T195" s="274"/>
      <c r="V195" s="175" t="s">
        <v>394</v>
      </c>
      <c r="W195" s="96"/>
      <c r="X195" s="191">
        <f>X172</f>
        <v>158</v>
      </c>
      <c r="Y195" s="192">
        <f>Y172+Y173</f>
        <v>34441.571127733034</v>
      </c>
      <c r="AA195" s="175" t="s">
        <v>394</v>
      </c>
      <c r="AB195" s="96"/>
      <c r="AC195" s="191">
        <f>AC173</f>
        <v>220</v>
      </c>
      <c r="AD195" s="192">
        <f>AD173</f>
        <v>742.8360093164525</v>
      </c>
      <c r="AF195" s="175" t="s">
        <v>394</v>
      </c>
      <c r="AG195" s="96"/>
      <c r="AH195" s="191">
        <f>SUMPRODUCT(AH171:AH173,AI171:AI173)/SUM(AI171:AI173)</f>
        <v>105.73767230477591</v>
      </c>
      <c r="AI195" s="192">
        <f>SUM(AI171:AI173)</f>
        <v>14430.921333333334</v>
      </c>
      <c r="AK195" s="175"/>
      <c r="AL195" s="31"/>
      <c r="AM195" s="273"/>
      <c r="AN195" s="274"/>
      <c r="AP195" s="175" t="s">
        <v>394</v>
      </c>
      <c r="AQ195" s="96"/>
      <c r="AR195" s="191">
        <f>SUMPRODUCT(AR170:AR171,AS170:AS171)/SUM(AS170:AS171)</f>
        <v>95.98873546151944</v>
      </c>
      <c r="AS195" s="192">
        <f>SUM(AS170:AS171)</f>
        <v>242.45999999999998</v>
      </c>
      <c r="AU195" s="175" t="s">
        <v>394</v>
      </c>
      <c r="AV195" s="96"/>
      <c r="AW195" s="191">
        <f>SUMPRODUCT(AW173:AW178,AX173:AX178)/SUM(AX173:AX178)</f>
        <v>133.16025565158492</v>
      </c>
      <c r="AX195" s="192">
        <f>SUM(AX173:AX178)</f>
        <v>881.2377477949738</v>
      </c>
    </row>
    <row r="196" spans="2:50" s="94" customFormat="1" ht="12.75">
      <c r="B196" s="175" t="s">
        <v>397</v>
      </c>
      <c r="C196" s="96"/>
      <c r="D196" s="193">
        <f>D172</f>
        <v>369.03</v>
      </c>
      <c r="E196" s="194">
        <f>E172</f>
        <v>30.23076923076923</v>
      </c>
      <c r="G196" s="175" t="s">
        <v>397</v>
      </c>
      <c r="H196" s="96"/>
      <c r="I196" s="193">
        <f>I172</f>
        <v>1046.52</v>
      </c>
      <c r="J196" s="194">
        <f>J172</f>
        <v>352.71387755102035</v>
      </c>
      <c r="L196" s="175" t="s">
        <v>397</v>
      </c>
      <c r="M196" s="96"/>
      <c r="N196" s="193">
        <f>(N173*O173+N174*O174)/(O173+O174)</f>
        <v>528.6744702031864</v>
      </c>
      <c r="O196" s="194">
        <f>O173+O174</f>
        <v>4816.43013682583</v>
      </c>
      <c r="Q196" s="175"/>
      <c r="R196" s="31"/>
      <c r="S196" s="273"/>
      <c r="T196" s="274"/>
      <c r="V196" s="175" t="s">
        <v>397</v>
      </c>
      <c r="W196" s="96"/>
      <c r="X196" s="193">
        <f>SUMPRODUCT(X170:X171,Y170:Y171)/SUM(Y170:Y171)</f>
        <v>656.5935143768172</v>
      </c>
      <c r="Y196" s="194">
        <f>SUM(Y170:Y171)</f>
        <v>9299.278832802896</v>
      </c>
      <c r="AA196" s="175" t="s">
        <v>397</v>
      </c>
      <c r="AB196" s="96"/>
      <c r="AC196" s="193">
        <f>AC172</f>
        <v>632.34</v>
      </c>
      <c r="AD196" s="194">
        <f>AD172</f>
        <v>575.3418464477035</v>
      </c>
      <c r="AF196" s="175" t="s">
        <v>397</v>
      </c>
      <c r="AG196" s="96"/>
      <c r="AH196" s="193">
        <f>SUMPRODUCT(AH174:AH176,AI174:AI176)/SUM(AI174:AI176)</f>
        <v>679.2801930593355</v>
      </c>
      <c r="AI196" s="194">
        <f>SUM(AI174:AI176)</f>
        <v>12065.073124999999</v>
      </c>
      <c r="AK196" s="175"/>
      <c r="AL196" s="31"/>
      <c r="AM196" s="273"/>
      <c r="AN196" s="274"/>
      <c r="AP196" s="175" t="s">
        <v>397</v>
      </c>
      <c r="AQ196" s="96"/>
      <c r="AR196" s="193">
        <f>SUMPRODUCT(AR168:AR169,AS168:AS169)/SUM(AS168:AS169)</f>
        <v>493.1438368860056</v>
      </c>
      <c r="AS196" s="194">
        <f>SUM(AS168:AS169)</f>
        <v>21.58</v>
      </c>
      <c r="AU196" s="175" t="s">
        <v>397</v>
      </c>
      <c r="AV196" s="96"/>
      <c r="AW196" s="193">
        <f>SUMPRODUCT(AW169:AW172,AX169:AX172)/SUM(AX169:AX172)</f>
        <v>911.4450325038979</v>
      </c>
      <c r="AX196" s="194">
        <f>SUM(AX169:AX172)</f>
        <v>434.67532730417736</v>
      </c>
    </row>
    <row r="197" spans="2:50" s="94" customFormat="1" ht="12.75">
      <c r="B197" s="178" t="s">
        <v>400</v>
      </c>
      <c r="C197" s="195"/>
      <c r="D197" s="196"/>
      <c r="E197" s="197"/>
      <c r="G197" s="178" t="s">
        <v>400</v>
      </c>
      <c r="H197" s="195"/>
      <c r="I197" s="196">
        <f>SUMPRODUCT(I168:I171,J168:J171)/SUM(J168:J171)</f>
        <v>18236.02078518519</v>
      </c>
      <c r="J197" s="197">
        <f>SUM(J168:J171)</f>
        <v>45</v>
      </c>
      <c r="L197" s="178" t="s">
        <v>400</v>
      </c>
      <c r="M197" s="195"/>
      <c r="N197" s="196">
        <f>N175</f>
        <v>6966.96</v>
      </c>
      <c r="O197" s="197">
        <f>O175</f>
        <v>133.85650974642363</v>
      </c>
      <c r="Q197" s="178"/>
      <c r="R197" s="239"/>
      <c r="S197" s="275"/>
      <c r="T197" s="241"/>
      <c r="V197" s="178" t="s">
        <v>400</v>
      </c>
      <c r="W197" s="195"/>
      <c r="X197" s="196">
        <f>SUMPRODUCT(X168:X169,Y168:Y169)/SUM(Y168:Y169)</f>
        <v>1977.0000000000002</v>
      </c>
      <c r="Y197" s="197">
        <f>SUM(Y168:Y169)</f>
        <v>154.79244723410102</v>
      </c>
      <c r="AA197" s="178" t="s">
        <v>400</v>
      </c>
      <c r="AB197" s="195"/>
      <c r="AC197" s="196">
        <f>SUMPRODUCT(AC169:AC171,AD169:AD171)/SUM(AD169:AD171)</f>
        <v>2692.36117763994</v>
      </c>
      <c r="AD197" s="197">
        <f>SUM(AD169:AD171)</f>
        <v>5.1225388904363</v>
      </c>
      <c r="AF197" s="178" t="s">
        <v>400</v>
      </c>
      <c r="AG197" s="195"/>
      <c r="AH197" s="196">
        <f>SUMPRODUCT(AH177:AH178,AI177:AI178)/SUM(AI177:AI178)</f>
        <v>7778.296171409402</v>
      </c>
      <c r="AI197" s="197">
        <f>SUM(AI177:AI178)</f>
        <v>181.59641666666667</v>
      </c>
      <c r="AK197" s="178"/>
      <c r="AL197" s="239"/>
      <c r="AM197" s="275"/>
      <c r="AN197" s="241"/>
      <c r="AP197" s="178" t="s">
        <v>400</v>
      </c>
      <c r="AQ197" s="195"/>
      <c r="AR197" s="196"/>
      <c r="AS197" s="197"/>
      <c r="AU197" s="178" t="s">
        <v>400</v>
      </c>
      <c r="AV197" s="195"/>
      <c r="AW197" s="196">
        <f>AW168</f>
        <v>4968.37</v>
      </c>
      <c r="AX197" s="197">
        <f>AX168</f>
        <v>22.228117684996672</v>
      </c>
    </row>
    <row r="198" spans="2:50" s="86" customFormat="1" ht="12.75">
      <c r="B198" s="223" t="s">
        <v>451</v>
      </c>
      <c r="C198" s="220"/>
      <c r="D198" s="222">
        <f>SUMPRODUCT(D192:D197,E192:E197)</f>
        <v>880513.6230769232</v>
      </c>
      <c r="E198" s="221"/>
      <c r="G198" s="223" t="s">
        <v>451</v>
      </c>
      <c r="H198" s="220"/>
      <c r="I198" s="222">
        <f>SUMPRODUCT(I192:I197,J192:J197)</f>
        <v>6101573.598367348</v>
      </c>
      <c r="J198" s="221"/>
      <c r="L198" s="223" t="s">
        <v>451</v>
      </c>
      <c r="M198" s="220"/>
      <c r="N198" s="222">
        <f>SUMPRODUCT(N192:N197,O192:O197)</f>
        <v>49274235.04999999</v>
      </c>
      <c r="O198" s="221"/>
      <c r="Q198" s="223" t="s">
        <v>451</v>
      </c>
      <c r="R198" s="220"/>
      <c r="S198" s="222">
        <f>SUMPRODUCT(S192:S197,T192:T197)</f>
        <v>0</v>
      </c>
      <c r="T198" s="221"/>
      <c r="V198" s="223" t="s">
        <v>451</v>
      </c>
      <c r="W198" s="220"/>
      <c r="X198" s="219">
        <f>SUMPRODUCT(X192:X197,Y192:Y197)</f>
        <v>89348864.68467358</v>
      </c>
      <c r="Y198" s="221"/>
      <c r="AA198" s="223" t="s">
        <v>451</v>
      </c>
      <c r="AB198" s="220"/>
      <c r="AC198" s="219">
        <f>SUMPRODUCT(AC192:AC197,AD192:AD197)</f>
        <v>2281315.089338881</v>
      </c>
      <c r="AD198" s="221"/>
      <c r="AF198" s="223" t="s">
        <v>451</v>
      </c>
      <c r="AG198" s="220"/>
      <c r="AH198" s="219">
        <f>SUMPRODUCT(AH192:AH197,AI192:AI197)</f>
        <v>64082862.0417</v>
      </c>
      <c r="AI198" s="221"/>
      <c r="AK198" s="223" t="s">
        <v>451</v>
      </c>
      <c r="AL198" s="220"/>
      <c r="AM198" s="222">
        <f>SUMPRODUCT(AM192:AM197,AN192:AN197)</f>
        <v>0</v>
      </c>
      <c r="AN198" s="221"/>
      <c r="AP198" s="223" t="s">
        <v>451</v>
      </c>
      <c r="AQ198" s="220"/>
      <c r="AR198" s="222">
        <f>SUMPRODUCT(AR192:AR197,AS192:AS197)</f>
        <v>890289.0888</v>
      </c>
      <c r="AS198" s="221"/>
      <c r="AU198" s="223" t="s">
        <v>451</v>
      </c>
      <c r="AV198" s="220"/>
      <c r="AW198" s="222">
        <f>SUMPRODUCT(AW192:AW197,AX192:AX197)</f>
        <v>1451680.0872681476</v>
      </c>
      <c r="AX198" s="221"/>
    </row>
    <row r="199" spans="2:50" s="86" customFormat="1" ht="12.75">
      <c r="B199" s="31"/>
      <c r="C199" s="31"/>
      <c r="D199" s="202"/>
      <c r="E199" s="116"/>
      <c r="G199" s="31"/>
      <c r="H199" s="31"/>
      <c r="I199" s="202"/>
      <c r="J199" s="116"/>
      <c r="L199" s="31"/>
      <c r="M199" s="31"/>
      <c r="N199" s="202"/>
      <c r="O199" s="116"/>
      <c r="Q199" s="31"/>
      <c r="R199" s="31"/>
      <c r="S199" s="202"/>
      <c r="T199" s="116"/>
      <c r="V199" s="31"/>
      <c r="W199" s="31"/>
      <c r="X199" s="202"/>
      <c r="Y199" s="116"/>
      <c r="AA199" s="31"/>
      <c r="AB199" s="31"/>
      <c r="AC199" s="202"/>
      <c r="AD199" s="116"/>
      <c r="AF199" s="31"/>
      <c r="AG199" s="31"/>
      <c r="AH199" s="202"/>
      <c r="AI199" s="116"/>
      <c r="AK199" s="31"/>
      <c r="AL199" s="31"/>
      <c r="AM199" s="202"/>
      <c r="AN199" s="116"/>
      <c r="AP199" s="31"/>
      <c r="AQ199" s="31"/>
      <c r="AR199" s="202"/>
      <c r="AS199" s="116"/>
      <c r="AU199" s="31"/>
      <c r="AV199" s="31"/>
      <c r="AW199" s="202"/>
      <c r="AX199" s="116"/>
    </row>
    <row r="200" spans="1:12" s="199" customFormat="1" ht="12.75">
      <c r="A200" s="199" t="s">
        <v>468</v>
      </c>
      <c r="B200" s="83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</row>
    <row r="201" spans="1:20" ht="12.75">
      <c r="A201" s="22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</row>
    <row r="202" spans="2:47" s="94" customFormat="1" ht="15.75">
      <c r="B202" s="122" t="s">
        <v>146</v>
      </c>
      <c r="G202" s="122" t="s">
        <v>29</v>
      </c>
      <c r="L202" s="122" t="s">
        <v>147</v>
      </c>
      <c r="Q202" s="122" t="s">
        <v>288</v>
      </c>
      <c r="V202" s="122" t="s">
        <v>148</v>
      </c>
      <c r="AA202" s="122" t="s">
        <v>149</v>
      </c>
      <c r="AF202" s="122" t="s">
        <v>150</v>
      </c>
      <c r="AK202" s="122" t="s">
        <v>195</v>
      </c>
      <c r="AP202" s="122" t="s">
        <v>151</v>
      </c>
      <c r="AU202" s="123" t="s">
        <v>30</v>
      </c>
    </row>
    <row r="203" spans="2:50" s="86" customFormat="1" ht="12.75">
      <c r="B203" s="124" t="s">
        <v>252</v>
      </c>
      <c r="C203" s="125"/>
      <c r="D203" s="124" t="s">
        <v>402</v>
      </c>
      <c r="E203" s="282" t="s">
        <v>403</v>
      </c>
      <c r="G203" s="124" t="s">
        <v>252</v>
      </c>
      <c r="H203" s="125"/>
      <c r="I203" s="269" t="s">
        <v>402</v>
      </c>
      <c r="J203" s="311" t="s">
        <v>403</v>
      </c>
      <c r="L203" s="124" t="s">
        <v>252</v>
      </c>
      <c r="M203" s="125"/>
      <c r="N203" s="302" t="s">
        <v>402</v>
      </c>
      <c r="O203" s="311" t="s">
        <v>403</v>
      </c>
      <c r="Q203" s="124"/>
      <c r="R203" s="125"/>
      <c r="S203" s="269"/>
      <c r="T203" s="270"/>
      <c r="V203" s="124" t="s">
        <v>252</v>
      </c>
      <c r="W203" s="125"/>
      <c r="X203" s="302" t="s">
        <v>402</v>
      </c>
      <c r="Y203" s="311" t="s">
        <v>403</v>
      </c>
      <c r="AA203" s="124" t="s">
        <v>252</v>
      </c>
      <c r="AB203" s="125"/>
      <c r="AC203" s="302" t="s">
        <v>402</v>
      </c>
      <c r="AD203" s="311" t="s">
        <v>403</v>
      </c>
      <c r="AF203" s="225" t="s">
        <v>252</v>
      </c>
      <c r="AG203" s="310"/>
      <c r="AH203" s="356" t="s">
        <v>402</v>
      </c>
      <c r="AI203" s="311" t="s">
        <v>403</v>
      </c>
      <c r="AK203" s="124"/>
      <c r="AL203" s="125"/>
      <c r="AM203" s="269"/>
      <c r="AN203" s="270"/>
      <c r="AP203" s="124" t="s">
        <v>252</v>
      </c>
      <c r="AQ203" s="125"/>
      <c r="AR203" s="269" t="s">
        <v>402</v>
      </c>
      <c r="AS203" s="311" t="s">
        <v>403</v>
      </c>
      <c r="AU203" s="124" t="s">
        <v>252</v>
      </c>
      <c r="AV203" s="125"/>
      <c r="AW203" s="269" t="s">
        <v>402</v>
      </c>
      <c r="AX203" s="311" t="s">
        <v>403</v>
      </c>
    </row>
    <row r="204" spans="2:50" s="86" customFormat="1" ht="12.75">
      <c r="B204" s="126" t="str">
        <f>B168</f>
        <v>Afnemers EHS/HS (&gt;=110 kV)</v>
      </c>
      <c r="C204" s="127"/>
      <c r="D204" s="128">
        <v>1</v>
      </c>
      <c r="E204" s="129">
        <v>1</v>
      </c>
      <c r="F204" s="94"/>
      <c r="G204" s="216" t="str">
        <f>G168</f>
        <v>TS</v>
      </c>
      <c r="H204" s="127"/>
      <c r="I204" s="135">
        <v>1</v>
      </c>
      <c r="J204" s="136">
        <v>1</v>
      </c>
      <c r="K204" s="94"/>
      <c r="L204" s="132" t="str">
        <f>L168</f>
        <v>t/m 1*6 A</v>
      </c>
      <c r="M204" s="127"/>
      <c r="N204" s="130">
        <v>1</v>
      </c>
      <c r="O204" s="131">
        <v>1</v>
      </c>
      <c r="P204" s="94"/>
      <c r="Q204" s="170"/>
      <c r="R204" s="242"/>
      <c r="S204" s="211"/>
      <c r="T204" s="212"/>
      <c r="U204" s="94"/>
      <c r="V204" s="126" t="str">
        <f>V168</f>
        <v>Afnemers Trafo HS+TS/MS </v>
      </c>
      <c r="W204" s="127"/>
      <c r="X204" s="135">
        <v>1</v>
      </c>
      <c r="Y204" s="136">
        <v>1</v>
      </c>
      <c r="Z204" s="94"/>
      <c r="AA204" s="126" t="str">
        <f>AA168</f>
        <v>Afnemers EHS/HS (&gt;=110 kV)</v>
      </c>
      <c r="AB204" s="127"/>
      <c r="AC204" s="128">
        <v>1</v>
      </c>
      <c r="AD204" s="129">
        <v>1</v>
      </c>
      <c r="AE204" s="94"/>
      <c r="AF204" s="132" t="str">
        <f>AF168</f>
        <v>t/m 3*25A</v>
      </c>
      <c r="AG204" s="231"/>
      <c r="AH204" s="258">
        <v>1</v>
      </c>
      <c r="AI204" s="134">
        <v>1</v>
      </c>
      <c r="AJ204" s="94"/>
      <c r="AK204" s="126"/>
      <c r="AL204" s="242"/>
      <c r="AM204" s="211"/>
      <c r="AN204" s="212"/>
      <c r="AO204" s="94"/>
      <c r="AP204" s="126" t="str">
        <f>AP168</f>
        <v>Afnemers MS (1-20 kV) - TRANSPORT</v>
      </c>
      <c r="AQ204" s="137"/>
      <c r="AR204" s="146">
        <v>1</v>
      </c>
      <c r="AS204" s="147">
        <v>1</v>
      </c>
      <c r="AT204" s="94"/>
      <c r="AU204" s="126" t="str">
        <f>AU168</f>
        <v>&gt;3,0 MVA en t/m 10 MVA     </v>
      </c>
      <c r="AV204" s="127"/>
      <c r="AW204" s="135">
        <v>1</v>
      </c>
      <c r="AX204" s="136">
        <v>1</v>
      </c>
    </row>
    <row r="205" spans="2:50" s="86" customFormat="1" ht="12.75">
      <c r="B205" s="126" t="str">
        <f aca="true" t="shared" si="8" ref="B205:B215">B169</f>
        <v>Afnemers TS (25-50 kV)</v>
      </c>
      <c r="C205" s="137"/>
      <c r="D205" s="138">
        <v>1</v>
      </c>
      <c r="E205" s="139">
        <v>1</v>
      </c>
      <c r="F205" s="94"/>
      <c r="G205" s="216" t="str">
        <f aca="true" t="shared" si="9" ref="G205:G215">G169</f>
        <v>TS&lt;600</v>
      </c>
      <c r="H205" s="137"/>
      <c r="I205" s="144">
        <v>1</v>
      </c>
      <c r="J205" s="145">
        <v>1</v>
      </c>
      <c r="K205" s="94"/>
      <c r="L205" s="126" t="str">
        <f aca="true" t="shared" si="10" ref="L205:L211">L169</f>
        <v>&gt; 1*6A t/m 3*25A (voorheen &lt; 3*25A)</v>
      </c>
      <c r="M205" s="137"/>
      <c r="N205" s="140">
        <v>1</v>
      </c>
      <c r="O205" s="141">
        <v>1</v>
      </c>
      <c r="P205" s="94"/>
      <c r="Q205" s="170"/>
      <c r="R205" s="156"/>
      <c r="S205" s="213"/>
      <c r="T205" s="214"/>
      <c r="U205" s="94"/>
      <c r="V205" s="126" t="str">
        <f aca="true" t="shared" si="11" ref="V205:V214">V169</f>
        <v>Afnemers Trafo HS+TS/MS maximaal 600 uur per jaar</v>
      </c>
      <c r="W205" s="137"/>
      <c r="X205" s="144">
        <v>1</v>
      </c>
      <c r="Y205" s="145">
        <v>1</v>
      </c>
      <c r="Z205" s="94"/>
      <c r="AA205" s="126" t="str">
        <f aca="true" t="shared" si="12" ref="AA205:AA215">AA169</f>
        <v>Afnemers TS (25-50 kV)</v>
      </c>
      <c r="AB205" s="137"/>
      <c r="AC205" s="144">
        <v>1</v>
      </c>
      <c r="AD205" s="145">
        <v>1</v>
      </c>
      <c r="AE205" s="94"/>
      <c r="AF205" s="126" t="str">
        <f aca="true" t="shared" si="13" ref="AF205:AF214">AF169</f>
        <v>&gt;3*25A en t/m 3*50A</v>
      </c>
      <c r="AG205" s="227"/>
      <c r="AH205" s="259">
        <v>1</v>
      </c>
      <c r="AI205" s="143">
        <v>1</v>
      </c>
      <c r="AJ205" s="94"/>
      <c r="AK205" s="126"/>
      <c r="AL205" s="156"/>
      <c r="AM205" s="213"/>
      <c r="AN205" s="214"/>
      <c r="AO205" s="94"/>
      <c r="AP205" s="126" t="str">
        <f aca="true" t="shared" si="14" ref="AP205:AP211">AP169</f>
        <v>Afnemers MS (1-20 kV) - DISTRIBUTIE</v>
      </c>
      <c r="AQ205" s="137"/>
      <c r="AR205" s="146">
        <v>1</v>
      </c>
      <c r="AS205" s="147">
        <v>1</v>
      </c>
      <c r="AT205" s="94"/>
      <c r="AU205" s="126" t="str">
        <f aca="true" t="shared" si="15" ref="AU205:AU220">AU169</f>
        <v>&gt;=1,0 MW en t/m 3 MVA   </v>
      </c>
      <c r="AV205" s="137"/>
      <c r="AW205" s="146">
        <v>1</v>
      </c>
      <c r="AX205" s="147">
        <v>1</v>
      </c>
    </row>
    <row r="206" spans="2:50" s="86" customFormat="1" ht="12.75">
      <c r="B206" s="126" t="str">
        <f t="shared" si="8"/>
        <v>Afnemers Trafo HS + TS/MS</v>
      </c>
      <c r="C206" s="137"/>
      <c r="D206" s="138">
        <v>1</v>
      </c>
      <c r="E206" s="139">
        <v>1</v>
      </c>
      <c r="F206" s="94"/>
      <c r="G206" s="216" t="str">
        <f t="shared" si="9"/>
        <v>HS/MS</v>
      </c>
      <c r="H206" s="137"/>
      <c r="I206" s="148">
        <v>1</v>
      </c>
      <c r="J206" s="145">
        <v>1</v>
      </c>
      <c r="K206" s="94"/>
      <c r="L206" s="126" t="str">
        <f t="shared" si="10"/>
        <v>&gt; 3*25A t/m 3*80A (voorheen &gt; 3*25A)</v>
      </c>
      <c r="M206" s="137"/>
      <c r="N206" s="149">
        <v>1</v>
      </c>
      <c r="O206" s="143">
        <v>1</v>
      </c>
      <c r="P206" s="94"/>
      <c r="Q206" s="170"/>
      <c r="R206" s="156"/>
      <c r="S206" s="213"/>
      <c r="T206" s="214"/>
      <c r="U206" s="94"/>
      <c r="V206" s="126" t="str">
        <f t="shared" si="11"/>
        <v>Afnemers MS (1-20 kV) - TRANSPORT</v>
      </c>
      <c r="W206" s="137"/>
      <c r="X206" s="146">
        <v>1</v>
      </c>
      <c r="Y206" s="147">
        <v>1</v>
      </c>
      <c r="Z206" s="94"/>
      <c r="AA206" s="126" t="str">
        <f t="shared" si="12"/>
        <v>Afnemers Trafo HS + TS/MS</v>
      </c>
      <c r="AB206" s="137"/>
      <c r="AC206" s="144">
        <v>1</v>
      </c>
      <c r="AD206" s="145">
        <v>1</v>
      </c>
      <c r="AE206" s="94"/>
      <c r="AF206" s="126" t="str">
        <f t="shared" si="13"/>
        <v>&gt;3*50A en t/m 3*80A</v>
      </c>
      <c r="AG206" s="227"/>
      <c r="AH206" s="259">
        <v>1</v>
      </c>
      <c r="AI206" s="143">
        <v>1</v>
      </c>
      <c r="AJ206" s="94"/>
      <c r="AK206" s="126"/>
      <c r="AL206" s="156"/>
      <c r="AM206" s="213"/>
      <c r="AN206" s="214"/>
      <c r="AO206" s="94"/>
      <c r="AP206" s="126" t="str">
        <f t="shared" si="14"/>
        <v>Afnemers Trafo MS/LS</v>
      </c>
      <c r="AQ206" s="137"/>
      <c r="AR206" s="151">
        <v>1</v>
      </c>
      <c r="AS206" s="152">
        <v>1</v>
      </c>
      <c r="AT206" s="94"/>
      <c r="AU206" s="126" t="str">
        <f t="shared" si="15"/>
        <v>&gt;3*1500A en t/m 3*1600 A af sec zijde LS</v>
      </c>
      <c r="AV206" s="137"/>
      <c r="AW206" s="146">
        <v>1</v>
      </c>
      <c r="AX206" s="147">
        <v>1</v>
      </c>
    </row>
    <row r="207" spans="2:50" s="86" customFormat="1" ht="12.75">
      <c r="B207" s="126" t="str">
        <f t="shared" si="8"/>
        <v>Afnemers MS (1-20 kV) - Transport</v>
      </c>
      <c r="C207" s="137"/>
      <c r="D207" s="138">
        <v>1</v>
      </c>
      <c r="E207" s="139">
        <v>1</v>
      </c>
      <c r="F207" s="94"/>
      <c r="G207" s="216" t="str">
        <f t="shared" si="9"/>
        <v>HS/MS&lt;600</v>
      </c>
      <c r="H207" s="137"/>
      <c r="I207" s="148">
        <v>1</v>
      </c>
      <c r="J207" s="145">
        <v>1</v>
      </c>
      <c r="K207" s="94"/>
      <c r="L207" s="126" t="str">
        <f t="shared" si="10"/>
        <v>&gt; 3*25A t/m 3*80A (voorheen LS)</v>
      </c>
      <c r="M207" s="137"/>
      <c r="N207" s="149">
        <v>1</v>
      </c>
      <c r="O207" s="143">
        <v>1</v>
      </c>
      <c r="P207" s="94"/>
      <c r="Q207" s="170"/>
      <c r="R207" s="156"/>
      <c r="S207" s="213"/>
      <c r="T207" s="214"/>
      <c r="U207" s="94"/>
      <c r="V207" s="126" t="str">
        <f t="shared" si="11"/>
        <v>Afnemers MS (1-20 kV) - DISTRIBUTIE</v>
      </c>
      <c r="W207" s="137"/>
      <c r="X207" s="146">
        <v>1</v>
      </c>
      <c r="Y207" s="147">
        <v>1</v>
      </c>
      <c r="Z207" s="94"/>
      <c r="AA207" s="126" t="str">
        <f t="shared" si="12"/>
        <v>Afnemers MS (&gt; 3 MW )</v>
      </c>
      <c r="AB207" s="137"/>
      <c r="AC207" s="144">
        <v>1</v>
      </c>
      <c r="AD207" s="145">
        <v>1</v>
      </c>
      <c r="AE207" s="94"/>
      <c r="AF207" s="126" t="str">
        <f t="shared" si="13"/>
        <v>&gt; afnemers LS</v>
      </c>
      <c r="AG207" s="227"/>
      <c r="AH207" s="260">
        <v>1</v>
      </c>
      <c r="AI207" s="152">
        <v>1</v>
      </c>
      <c r="AJ207" s="94"/>
      <c r="AK207" s="126"/>
      <c r="AL207" s="156"/>
      <c r="AM207" s="213"/>
      <c r="AN207" s="214"/>
      <c r="AO207" s="94"/>
      <c r="AP207" s="126" t="str">
        <f t="shared" si="14"/>
        <v>Afnemers LS </v>
      </c>
      <c r="AQ207" s="137"/>
      <c r="AR207" s="151">
        <v>1</v>
      </c>
      <c r="AS207" s="152">
        <v>1</v>
      </c>
      <c r="AT207" s="94"/>
      <c r="AU207" s="126" t="str">
        <f t="shared" si="15"/>
        <v>&gt;3*1200A en t/m 3*1500 A af sec zijde LS</v>
      </c>
      <c r="AV207" s="137"/>
      <c r="AW207" s="146">
        <v>1</v>
      </c>
      <c r="AX207" s="147">
        <v>1</v>
      </c>
    </row>
    <row r="208" spans="2:50" s="86" customFormat="1" ht="12.75">
      <c r="B208" s="126" t="str">
        <f t="shared" si="8"/>
        <v>Afnemers MS (1-20 kV) - Distributie (&gt; 1,2 MVA t/m 3,0  MVA)</v>
      </c>
      <c r="C208" s="137"/>
      <c r="D208" s="146">
        <v>1</v>
      </c>
      <c r="E208" s="147">
        <v>1</v>
      </c>
      <c r="F208" s="94"/>
      <c r="G208" s="216" t="str">
        <f t="shared" si="9"/>
        <v>MS</v>
      </c>
      <c r="H208" s="137"/>
      <c r="I208" s="154">
        <v>1</v>
      </c>
      <c r="J208" s="147">
        <v>1</v>
      </c>
      <c r="K208" s="94"/>
      <c r="L208" s="126" t="str">
        <f t="shared" si="10"/>
        <v>&gt; 3*80A t/m 175 kVA</v>
      </c>
      <c r="M208" s="137"/>
      <c r="N208" s="151">
        <v>1</v>
      </c>
      <c r="O208" s="152">
        <v>1</v>
      </c>
      <c r="P208" s="94"/>
      <c r="Q208" s="170"/>
      <c r="R208" s="156"/>
      <c r="S208" s="213"/>
      <c r="T208" s="214"/>
      <c r="U208" s="94"/>
      <c r="V208" s="126" t="str">
        <f t="shared" si="11"/>
        <v>Afnemers Trafo MS/LS</v>
      </c>
      <c r="W208" s="137"/>
      <c r="X208" s="151">
        <v>1</v>
      </c>
      <c r="Y208" s="152">
        <v>1</v>
      </c>
      <c r="Z208" s="94"/>
      <c r="AA208" s="126" t="str">
        <f t="shared" si="12"/>
        <v>Afnemers MS (&gt; 3x250A t/m 3 MW) </v>
      </c>
      <c r="AB208" s="137"/>
      <c r="AC208" s="146">
        <v>1</v>
      </c>
      <c r="AD208" s="147">
        <v>1</v>
      </c>
      <c r="AE208" s="94"/>
      <c r="AF208" s="126" t="str">
        <f t="shared" si="13"/>
        <v>&gt;3*80A en t/m 100 kVA af sec zijde trafo</v>
      </c>
      <c r="AG208" s="227"/>
      <c r="AH208" s="260">
        <v>1</v>
      </c>
      <c r="AI208" s="152">
        <v>1</v>
      </c>
      <c r="AJ208" s="94"/>
      <c r="AK208" s="126"/>
      <c r="AL208" s="156"/>
      <c r="AM208" s="213"/>
      <c r="AN208" s="214"/>
      <c r="AO208" s="94"/>
      <c r="AP208" s="126" t="str">
        <f t="shared" si="14"/>
        <v>Afnemers &gt; 3 * 25 A  (DT)</v>
      </c>
      <c r="AQ208" s="137"/>
      <c r="AR208" s="149">
        <v>1</v>
      </c>
      <c r="AS208" s="143">
        <v>1</v>
      </c>
      <c r="AT208" s="94"/>
      <c r="AU208" s="126" t="str">
        <f t="shared" si="15"/>
        <v>&gt;3*750A en t/m 3*1200 A af sec zijde LS</v>
      </c>
      <c r="AV208" s="137"/>
      <c r="AW208" s="146">
        <v>1</v>
      </c>
      <c r="AX208" s="147">
        <v>1</v>
      </c>
    </row>
    <row r="209" spans="2:50" s="86" customFormat="1" ht="12.75">
      <c r="B209" s="126" t="str">
        <f t="shared" si="8"/>
        <v>Afnemers Trafo MS/LS (&gt;0,15 MVA t/m 1,2 MVA)</v>
      </c>
      <c r="C209" s="137"/>
      <c r="D209" s="151">
        <v>1</v>
      </c>
      <c r="E209" s="152">
        <v>1</v>
      </c>
      <c r="F209" s="94"/>
      <c r="G209" s="216" t="str">
        <f t="shared" si="9"/>
        <v>MS/LS</v>
      </c>
      <c r="H209" s="137"/>
      <c r="I209" s="151">
        <v>1</v>
      </c>
      <c r="J209" s="152">
        <v>1</v>
      </c>
      <c r="K209" s="94"/>
      <c r="L209" s="126" t="str">
        <f t="shared" si="10"/>
        <v>&gt; 175kVA t/m 1750kVA</v>
      </c>
      <c r="M209" s="137"/>
      <c r="N209" s="146">
        <v>1</v>
      </c>
      <c r="O209" s="147">
        <v>1</v>
      </c>
      <c r="P209" s="94"/>
      <c r="Q209" s="170"/>
      <c r="R209" s="156"/>
      <c r="S209" s="213"/>
      <c r="T209" s="214"/>
      <c r="U209" s="94"/>
      <c r="V209" s="126" t="str">
        <f t="shared" si="11"/>
        <v>Afnemers LS </v>
      </c>
      <c r="W209" s="137"/>
      <c r="X209" s="151">
        <v>1</v>
      </c>
      <c r="Y209" s="152">
        <v>1</v>
      </c>
      <c r="Z209" s="94"/>
      <c r="AA209" s="126" t="str">
        <f t="shared" si="12"/>
        <v>Afnemers Trafo MS/LS (&gt; 3x63A t/m 3x250A) aansluiting MS/LS</v>
      </c>
      <c r="AB209" s="137"/>
      <c r="AC209" s="151">
        <v>1</v>
      </c>
      <c r="AD209" s="152">
        <v>1</v>
      </c>
      <c r="AE209" s="94"/>
      <c r="AF209" s="126" t="str">
        <f t="shared" si="13"/>
        <v>&gt;100 kVA en t/m 160 kVA af sec zijde trafo</v>
      </c>
      <c r="AG209" s="227"/>
      <c r="AH209" s="260">
        <v>1</v>
      </c>
      <c r="AI209" s="152">
        <v>1</v>
      </c>
      <c r="AJ209" s="94"/>
      <c r="AK209" s="126"/>
      <c r="AL209" s="156"/>
      <c r="AM209" s="213"/>
      <c r="AN209" s="214"/>
      <c r="AO209" s="94"/>
      <c r="AP209" s="126" t="str">
        <f t="shared" si="14"/>
        <v>Afnemers &lt; 3* 25 A  (DT)</v>
      </c>
      <c r="AQ209" s="137"/>
      <c r="AR209" s="140">
        <v>1</v>
      </c>
      <c r="AS209" s="141">
        <v>1</v>
      </c>
      <c r="AT209" s="94"/>
      <c r="AU209" s="126" t="str">
        <f t="shared" si="15"/>
        <v>&gt;3*500A en t/m 3*750 A af sec zijde LS</v>
      </c>
      <c r="AV209" s="137"/>
      <c r="AW209" s="151">
        <v>1</v>
      </c>
      <c r="AX209" s="152">
        <v>1</v>
      </c>
    </row>
    <row r="210" spans="2:50" s="86" customFormat="1" ht="12.75">
      <c r="B210" s="126" t="str">
        <f t="shared" si="8"/>
        <v>Afnemers LS (&gt;3*80A  t/m  3*225A)</v>
      </c>
      <c r="C210" s="137"/>
      <c r="D210" s="151">
        <v>1</v>
      </c>
      <c r="E210" s="152">
        <v>1</v>
      </c>
      <c r="F210" s="94"/>
      <c r="G210" s="216" t="str">
        <f t="shared" si="9"/>
        <v>LS GV</v>
      </c>
      <c r="H210" s="137"/>
      <c r="I210" s="151">
        <v>1</v>
      </c>
      <c r="J210" s="152">
        <v>1</v>
      </c>
      <c r="K210" s="94"/>
      <c r="L210" s="126" t="str">
        <f t="shared" si="10"/>
        <v>&gt; 1.750kVA t/m 3.000kVA</v>
      </c>
      <c r="M210" s="137"/>
      <c r="N210" s="146">
        <v>1</v>
      </c>
      <c r="O210" s="147">
        <v>1</v>
      </c>
      <c r="P210" s="94"/>
      <c r="Q210" s="170"/>
      <c r="R210" s="156"/>
      <c r="S210" s="213"/>
      <c r="T210" s="214"/>
      <c r="U210" s="94"/>
      <c r="V210" s="126" t="str">
        <f t="shared" si="11"/>
        <v>Afnemers &gt; 3 * 25 A  (DT)</v>
      </c>
      <c r="W210" s="137"/>
      <c r="X210" s="149">
        <v>1</v>
      </c>
      <c r="Y210" s="143">
        <v>1</v>
      </c>
      <c r="Z210" s="94"/>
      <c r="AA210" s="126" t="str">
        <f t="shared" si="12"/>
        <v>Afnemers LS</v>
      </c>
      <c r="AB210" s="137"/>
      <c r="AC210" s="151">
        <v>1</v>
      </c>
      <c r="AD210" s="152">
        <v>1</v>
      </c>
      <c r="AE210" s="94"/>
      <c r="AF210" s="126" t="str">
        <f t="shared" si="13"/>
        <v>&gt;160 kVA en t/m 630 kVA met LS meting</v>
      </c>
      <c r="AG210" s="92"/>
      <c r="AH210" s="261">
        <v>1</v>
      </c>
      <c r="AI210" s="147">
        <v>1</v>
      </c>
      <c r="AJ210" s="94"/>
      <c r="AK210" s="126"/>
      <c r="AL210" s="156"/>
      <c r="AM210" s="213"/>
      <c r="AN210" s="214"/>
      <c r="AO210" s="94"/>
      <c r="AP210" s="126" t="str">
        <f t="shared" si="14"/>
        <v>Afnemers &lt; 3* 25 A  (ET)</v>
      </c>
      <c r="AQ210" s="137"/>
      <c r="AR210" s="140">
        <v>1</v>
      </c>
      <c r="AS210" s="141">
        <v>1</v>
      </c>
      <c r="AT210" s="94"/>
      <c r="AU210" s="126" t="str">
        <f t="shared" si="15"/>
        <v>&gt;3*480A en t/m 3*500 A af sec zijde LS</v>
      </c>
      <c r="AV210" s="137"/>
      <c r="AW210" s="151">
        <v>1</v>
      </c>
      <c r="AX210" s="152">
        <v>1</v>
      </c>
    </row>
    <row r="211" spans="2:50" s="86" customFormat="1" ht="12.75">
      <c r="B211" s="126" t="str">
        <f t="shared" si="8"/>
        <v>Afnemers &gt; 3*25A  t/m  3*80A  DT</v>
      </c>
      <c r="C211" s="137"/>
      <c r="D211" s="149">
        <v>1</v>
      </c>
      <c r="E211" s="143">
        <v>1</v>
      </c>
      <c r="F211" s="94"/>
      <c r="G211" s="216" t="str">
        <f t="shared" si="9"/>
        <v>LS&gt; 3*25A (DT)</v>
      </c>
      <c r="H211" s="137"/>
      <c r="I211" s="149">
        <v>1</v>
      </c>
      <c r="J211" s="143">
        <v>1</v>
      </c>
      <c r="K211" s="94"/>
      <c r="L211" s="256" t="str">
        <f t="shared" si="10"/>
        <v>&gt; 3.000kVA t/m 10.000kVA</v>
      </c>
      <c r="M211" s="228"/>
      <c r="N211" s="267">
        <v>1</v>
      </c>
      <c r="O211" s="234">
        <v>1</v>
      </c>
      <c r="P211" s="94"/>
      <c r="Q211" s="170"/>
      <c r="R211" s="156"/>
      <c r="S211" s="213"/>
      <c r="T211" s="214"/>
      <c r="U211" s="94"/>
      <c r="V211" s="126" t="str">
        <f t="shared" si="11"/>
        <v>Afnemers &gt; 3* 25 A  (ET)</v>
      </c>
      <c r="W211" s="137"/>
      <c r="X211" s="149">
        <v>1</v>
      </c>
      <c r="Y211" s="143">
        <v>1</v>
      </c>
      <c r="Z211" s="94"/>
      <c r="AA211" s="126" t="str">
        <f t="shared" si="12"/>
        <v>Afnemers &gt; 3 * 25 A  (DT) (&gt; 3x25A t/m 3x80A aangesloten op ls)</v>
      </c>
      <c r="AB211" s="137"/>
      <c r="AC211" s="149">
        <v>1</v>
      </c>
      <c r="AD211" s="143">
        <v>1</v>
      </c>
      <c r="AE211" s="94"/>
      <c r="AF211" s="126" t="str">
        <f t="shared" si="13"/>
        <v>&gt;630 kVA en t/m 1000 kVA met LS meting</v>
      </c>
      <c r="AG211" s="227"/>
      <c r="AH211" s="261">
        <v>1</v>
      </c>
      <c r="AI211" s="147">
        <v>1</v>
      </c>
      <c r="AJ211" s="94"/>
      <c r="AK211" s="126"/>
      <c r="AL211" s="156"/>
      <c r="AM211" s="213"/>
      <c r="AN211" s="214"/>
      <c r="AO211" s="94"/>
      <c r="AP211" s="126" t="str">
        <f t="shared" si="14"/>
        <v>Afnemers LS geschakeld (1 * 6 A)</v>
      </c>
      <c r="AQ211" s="137"/>
      <c r="AR211" s="167">
        <v>1</v>
      </c>
      <c r="AS211" s="164">
        <v>1</v>
      </c>
      <c r="AT211" s="94"/>
      <c r="AU211" s="126" t="str">
        <f t="shared" si="15"/>
        <v>&gt;3*400A en t/m 3*480 A af sec zijde LS</v>
      </c>
      <c r="AV211" s="137"/>
      <c r="AW211" s="151">
        <v>1</v>
      </c>
      <c r="AX211" s="152">
        <v>1</v>
      </c>
    </row>
    <row r="212" spans="2:50" s="86" customFormat="1" ht="12.75">
      <c r="B212" s="126" t="str">
        <f t="shared" si="8"/>
        <v>Afnemers &gt; 3*25A t/m 3*80A ET</v>
      </c>
      <c r="C212" s="137"/>
      <c r="D212" s="149">
        <v>1</v>
      </c>
      <c r="E212" s="143">
        <v>1</v>
      </c>
      <c r="F212" s="94"/>
      <c r="G212" s="216" t="str">
        <f t="shared" si="9"/>
        <v>LS&gt; 3*25A (ET)</v>
      </c>
      <c r="H212" s="137"/>
      <c r="I212" s="149">
        <v>1</v>
      </c>
      <c r="J212" s="143">
        <v>1</v>
      </c>
      <c r="K212" s="94"/>
      <c r="L212" s="181"/>
      <c r="M212" s="218"/>
      <c r="N212" s="218"/>
      <c r="O212" s="229"/>
      <c r="P212" s="94"/>
      <c r="Q212" s="170"/>
      <c r="R212" s="156"/>
      <c r="S212" s="213"/>
      <c r="T212" s="214"/>
      <c r="U212" s="94"/>
      <c r="V212" s="126" t="str">
        <f t="shared" si="11"/>
        <v>Afnemers &lt; 3* 25 A  (DT)</v>
      </c>
      <c r="W212" s="137"/>
      <c r="X212" s="140">
        <v>1</v>
      </c>
      <c r="Y212" s="141">
        <v>1</v>
      </c>
      <c r="Z212" s="94"/>
      <c r="AA212" s="126" t="str">
        <f t="shared" si="12"/>
        <v>Afnemers &gt; 3 * 25 A  (ET)  (&gt; 3x25A t/m 3x80A aangesloten op ls)</v>
      </c>
      <c r="AB212" s="137"/>
      <c r="AC212" s="149">
        <v>1</v>
      </c>
      <c r="AD212" s="143">
        <v>1</v>
      </c>
      <c r="AE212" s="94"/>
      <c r="AF212" s="126" t="str">
        <f t="shared" si="13"/>
        <v>&gt;1000 kVA en t/m 2 MVA </v>
      </c>
      <c r="AG212" s="227"/>
      <c r="AH212" s="261">
        <v>1</v>
      </c>
      <c r="AI212" s="147">
        <v>1</v>
      </c>
      <c r="AJ212" s="94"/>
      <c r="AK212" s="126"/>
      <c r="AL212" s="156"/>
      <c r="AM212" s="213"/>
      <c r="AN212" s="214"/>
      <c r="AO212" s="94"/>
      <c r="AP212" s="181"/>
      <c r="AQ212" s="182"/>
      <c r="AR212" s="232"/>
      <c r="AS212" s="218"/>
      <c r="AT212" s="94"/>
      <c r="AU212" s="126" t="str">
        <f t="shared" si="15"/>
        <v>&gt;3*250A en t/m 3*400 A af sec zijde LS  </v>
      </c>
      <c r="AV212" s="137"/>
      <c r="AW212" s="151">
        <v>1</v>
      </c>
      <c r="AX212" s="152">
        <v>1</v>
      </c>
    </row>
    <row r="213" spans="2:50" s="86" customFormat="1" ht="12.75">
      <c r="B213" s="126" t="str">
        <f t="shared" si="8"/>
        <v>Afnemers &gt;  1* 6A  t/m 3* 25A DT</v>
      </c>
      <c r="C213" s="137"/>
      <c r="D213" s="140">
        <v>1</v>
      </c>
      <c r="E213" s="141">
        <v>1</v>
      </c>
      <c r="F213" s="94"/>
      <c r="G213" s="216" t="str">
        <f t="shared" si="9"/>
        <v>LS=&lt; 3*25A (DT)</v>
      </c>
      <c r="H213" s="137"/>
      <c r="I213" s="140">
        <v>1</v>
      </c>
      <c r="J213" s="141">
        <v>1</v>
      </c>
      <c r="K213" s="94"/>
      <c r="L213" s="94"/>
      <c r="M213" s="94"/>
      <c r="N213" s="94"/>
      <c r="O213" s="94"/>
      <c r="P213" s="94"/>
      <c r="Q213" s="170"/>
      <c r="R213" s="156"/>
      <c r="S213" s="213"/>
      <c r="T213" s="214"/>
      <c r="U213" s="94"/>
      <c r="V213" s="126" t="str">
        <f t="shared" si="11"/>
        <v>Afnemers &lt; 3* 25 A  (ET)</v>
      </c>
      <c r="W213" s="137"/>
      <c r="X213" s="140">
        <v>1</v>
      </c>
      <c r="Y213" s="141">
        <v>1</v>
      </c>
      <c r="Z213" s="94"/>
      <c r="AA213" s="126" t="str">
        <f t="shared" si="12"/>
        <v>Afnemers &lt; 3 * 25 A  (DT) (&gt; 1x6A t/m 3x25A aangesloten op ls)</v>
      </c>
      <c r="AB213" s="137"/>
      <c r="AC213" s="140">
        <v>1</v>
      </c>
      <c r="AD213" s="141">
        <v>1</v>
      </c>
      <c r="AE213" s="94"/>
      <c r="AF213" s="126" t="str">
        <f t="shared" si="13"/>
        <v>&gt;2 MVA en t/m 5,0 MVA</v>
      </c>
      <c r="AG213" s="227"/>
      <c r="AH213" s="262">
        <v>1</v>
      </c>
      <c r="AI213" s="145">
        <v>1</v>
      </c>
      <c r="AJ213" s="94"/>
      <c r="AK213" s="126"/>
      <c r="AL213" s="156"/>
      <c r="AM213" s="213"/>
      <c r="AN213" s="214"/>
      <c r="AO213" s="94"/>
      <c r="AP213" s="94"/>
      <c r="AQ213" s="94"/>
      <c r="AR213" s="94"/>
      <c r="AS213" s="94"/>
      <c r="AT213" s="94"/>
      <c r="AU213" s="126" t="str">
        <f t="shared" si="15"/>
        <v>&gt;3*200A en t/m 3*250 A af sec zijde LS </v>
      </c>
      <c r="AV213" s="137"/>
      <c r="AW213" s="151">
        <v>1</v>
      </c>
      <c r="AX213" s="152">
        <v>1</v>
      </c>
    </row>
    <row r="214" spans="2:50" s="86" customFormat="1" ht="12.75">
      <c r="B214" s="126" t="str">
        <f t="shared" si="8"/>
        <v>Afnemers &gt;  1* 6A  t/m 3* 25A ET</v>
      </c>
      <c r="C214" s="137"/>
      <c r="D214" s="140">
        <v>1</v>
      </c>
      <c r="E214" s="141">
        <v>1</v>
      </c>
      <c r="F214" s="94"/>
      <c r="G214" s="216" t="str">
        <f t="shared" si="9"/>
        <v>LS=&lt; 3*25A (ET)</v>
      </c>
      <c r="H214" s="137"/>
      <c r="I214" s="140">
        <v>1</v>
      </c>
      <c r="J214" s="141">
        <v>1</v>
      </c>
      <c r="K214" s="94"/>
      <c r="L214" s="94"/>
      <c r="M214" s="94"/>
      <c r="N214" s="94"/>
      <c r="O214" s="94"/>
      <c r="P214" s="94"/>
      <c r="Q214" s="170"/>
      <c r="R214" s="156"/>
      <c r="S214" s="213"/>
      <c r="T214" s="214"/>
      <c r="U214" s="94"/>
      <c r="V214" s="126" t="str">
        <f t="shared" si="11"/>
        <v>Afnemers 1x6A (openbare verlichting)</v>
      </c>
      <c r="W214" s="137"/>
      <c r="X214" s="167">
        <v>1</v>
      </c>
      <c r="Y214" s="164">
        <v>1</v>
      </c>
      <c r="Z214" s="94"/>
      <c r="AA214" s="126" t="str">
        <f t="shared" si="12"/>
        <v>Afnemers &lt; 3 * 25 A  (ET) (&gt; 1x6A t/m 3x25A aangesloten op ls)</v>
      </c>
      <c r="AB214" s="137"/>
      <c r="AC214" s="140">
        <v>1</v>
      </c>
      <c r="AD214" s="141">
        <v>1</v>
      </c>
      <c r="AE214" s="94"/>
      <c r="AF214" s="126" t="str">
        <f t="shared" si="13"/>
        <v>&gt;5 MVA en t/m 10,0 MVA</v>
      </c>
      <c r="AG214" s="227"/>
      <c r="AH214" s="262">
        <v>1</v>
      </c>
      <c r="AI214" s="145">
        <v>1</v>
      </c>
      <c r="AJ214" s="94"/>
      <c r="AK214" s="126"/>
      <c r="AL214" s="156"/>
      <c r="AM214" s="213"/>
      <c r="AN214" s="214"/>
      <c r="AO214" s="94"/>
      <c r="AP214" s="94"/>
      <c r="AQ214" s="94"/>
      <c r="AR214" s="94"/>
      <c r="AS214" s="94"/>
      <c r="AT214" s="94"/>
      <c r="AU214" s="126" t="str">
        <f t="shared" si="15"/>
        <v>&gt;3*80A en t/m 3*200 A af sec zijde LS       </v>
      </c>
      <c r="AV214" s="137"/>
      <c r="AW214" s="151">
        <v>1</v>
      </c>
      <c r="AX214" s="152">
        <v>1</v>
      </c>
    </row>
    <row r="215" spans="2:50" s="86" customFormat="1" ht="12.75">
      <c r="B215" s="126" t="str">
        <f t="shared" si="8"/>
        <v>Afnemers 0 t/m 1* 6A  (OV)</v>
      </c>
      <c r="C215" s="137"/>
      <c r="D215" s="165">
        <v>1</v>
      </c>
      <c r="E215" s="166">
        <v>1</v>
      </c>
      <c r="F215" s="94"/>
      <c r="G215" s="216" t="str">
        <f t="shared" si="9"/>
        <v>LS 1*16A (ET)</v>
      </c>
      <c r="H215" s="137"/>
      <c r="I215" s="167">
        <v>1</v>
      </c>
      <c r="J215" s="164">
        <v>1</v>
      </c>
      <c r="K215" s="94"/>
      <c r="L215" s="94"/>
      <c r="M215" s="94"/>
      <c r="N215" s="94"/>
      <c r="O215" s="94"/>
      <c r="P215" s="94"/>
      <c r="Q215" s="170"/>
      <c r="R215" s="156"/>
      <c r="S215" s="213"/>
      <c r="T215" s="214"/>
      <c r="U215" s="94"/>
      <c r="V215" s="157"/>
      <c r="W215" s="158"/>
      <c r="X215" s="159"/>
      <c r="Y215" s="160"/>
      <c r="Z215" s="94"/>
      <c r="AA215" s="126" t="str">
        <f t="shared" si="12"/>
        <v>Afnemers LS geschakeld (t/m 1x6A)</v>
      </c>
      <c r="AB215" s="137"/>
      <c r="AC215" s="167">
        <v>1</v>
      </c>
      <c r="AD215" s="164">
        <v>1</v>
      </c>
      <c r="AE215" s="94"/>
      <c r="AF215" s="126" t="str">
        <f>AF179</f>
        <v>t/m 1 x 6A op geschakeld net</v>
      </c>
      <c r="AG215" s="195"/>
      <c r="AH215" s="263">
        <v>1</v>
      </c>
      <c r="AI215" s="164">
        <v>1</v>
      </c>
      <c r="AJ215" s="94"/>
      <c r="AK215" s="126"/>
      <c r="AL215" s="156"/>
      <c r="AM215" s="213"/>
      <c r="AN215" s="214"/>
      <c r="AO215" s="94"/>
      <c r="AP215" s="92"/>
      <c r="AQ215" s="92"/>
      <c r="AR215" s="201"/>
      <c r="AS215" s="91"/>
      <c r="AT215" s="94"/>
      <c r="AU215" s="126" t="str">
        <f t="shared" si="15"/>
        <v>&gt;3*63A en t/m 3*80A           </v>
      </c>
      <c r="AV215" s="137"/>
      <c r="AW215" s="149">
        <v>1</v>
      </c>
      <c r="AX215" s="143">
        <v>1</v>
      </c>
    </row>
    <row r="216" spans="2:50" s="86" customFormat="1" ht="12.75">
      <c r="B216" s="157"/>
      <c r="C216" s="158"/>
      <c r="D216" s="159"/>
      <c r="E216" s="160"/>
      <c r="F216" s="94"/>
      <c r="G216" s="157"/>
      <c r="H216" s="158"/>
      <c r="I216" s="159"/>
      <c r="J216" s="160"/>
      <c r="K216" s="94"/>
      <c r="L216" s="94"/>
      <c r="M216" s="94"/>
      <c r="N216" s="94"/>
      <c r="O216" s="94"/>
      <c r="P216" s="94"/>
      <c r="Q216" s="157"/>
      <c r="R216" s="158"/>
      <c r="S216" s="159"/>
      <c r="T216" s="160"/>
      <c r="U216" s="94"/>
      <c r="V216" s="94"/>
      <c r="W216" s="94"/>
      <c r="X216" s="94"/>
      <c r="Y216" s="94"/>
      <c r="Z216" s="94"/>
      <c r="AA216" s="157"/>
      <c r="AB216" s="158"/>
      <c r="AC216" s="159"/>
      <c r="AD216" s="169"/>
      <c r="AE216" s="94"/>
      <c r="AF216" s="264"/>
      <c r="AG216" s="182"/>
      <c r="AH216" s="232"/>
      <c r="AI216" s="218"/>
      <c r="AJ216" s="94"/>
      <c r="AK216" s="157"/>
      <c r="AL216" s="158"/>
      <c r="AM216" s="159"/>
      <c r="AN216" s="160"/>
      <c r="AO216" s="94"/>
      <c r="AP216" s="92"/>
      <c r="AQ216" s="92"/>
      <c r="AR216" s="230"/>
      <c r="AS216" s="91"/>
      <c r="AT216" s="94"/>
      <c r="AU216" s="170" t="str">
        <f t="shared" si="15"/>
        <v>&gt;3*50A en t/m 3*63A         </v>
      </c>
      <c r="AV216" s="156"/>
      <c r="AW216" s="149">
        <v>1</v>
      </c>
      <c r="AX216" s="143">
        <v>1</v>
      </c>
    </row>
    <row r="217" spans="2:50" s="120" customFormat="1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 s="170" t="str">
        <f t="shared" si="15"/>
        <v>&gt;3*35A en t/m 3*50A</v>
      </c>
      <c r="AV217" s="156"/>
      <c r="AW217" s="149">
        <v>1</v>
      </c>
      <c r="AX217" s="143">
        <v>1</v>
      </c>
    </row>
    <row r="218" spans="2:50" s="120" customFormat="1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 s="203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 s="170" t="str">
        <f t="shared" si="15"/>
        <v>&gt;3*25A en t/m 3*35A</v>
      </c>
      <c r="AV218" s="156"/>
      <c r="AW218" s="149">
        <v>1</v>
      </c>
      <c r="AX218" s="143">
        <v>1</v>
      </c>
    </row>
    <row r="219" spans="2:50" s="120" customFormat="1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 s="170" t="str">
        <f t="shared" si="15"/>
        <v>&gt; 1*6A en t/m 3*25A  </v>
      </c>
      <c r="AV219" s="156"/>
      <c r="AW219" s="140">
        <v>1</v>
      </c>
      <c r="AX219" s="141">
        <v>1</v>
      </c>
    </row>
    <row r="220" spans="2:50" s="120" customFormat="1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 s="170" t="str">
        <f t="shared" si="15"/>
        <v>t/m 1*6A (geschakeld net)</v>
      </c>
      <c r="AV220" s="156"/>
      <c r="AW220" s="167">
        <v>1</v>
      </c>
      <c r="AX220" s="164">
        <v>1</v>
      </c>
    </row>
    <row r="221" spans="47:50" s="120" customFormat="1" ht="12.75">
      <c r="AU221" s="157"/>
      <c r="AV221" s="158"/>
      <c r="AW221" s="159"/>
      <c r="AX221" s="291"/>
    </row>
    <row r="222" s="120" customFormat="1" ht="12.75">
      <c r="AU222" s="545"/>
    </row>
    <row r="223" ht="12.75">
      <c r="AU223" s="203"/>
    </row>
    <row r="224" spans="1:12" s="199" customFormat="1" ht="12.75">
      <c r="A224" s="199" t="s">
        <v>469</v>
      </c>
      <c r="B224" s="83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</row>
    <row r="225" s="94" customFormat="1" ht="12.75"/>
    <row r="226" spans="2:47" s="94" customFormat="1" ht="12.75">
      <c r="B226" s="171" t="s">
        <v>146</v>
      </c>
      <c r="G226" s="171" t="s">
        <v>29</v>
      </c>
      <c r="L226" s="171" t="s">
        <v>147</v>
      </c>
      <c r="Q226" s="171" t="s">
        <v>288</v>
      </c>
      <c r="V226" s="171" t="s">
        <v>148</v>
      </c>
      <c r="AA226" s="171" t="s">
        <v>149</v>
      </c>
      <c r="AF226" s="171" t="s">
        <v>150</v>
      </c>
      <c r="AK226" s="171" t="s">
        <v>195</v>
      </c>
      <c r="AP226" s="171" t="s">
        <v>151</v>
      </c>
      <c r="AU226" s="171" t="s">
        <v>30</v>
      </c>
    </row>
    <row r="227" spans="2:50" s="94" customFormat="1" ht="12.75">
      <c r="B227" s="181"/>
      <c r="C227" s="182"/>
      <c r="D227" s="183" t="s">
        <v>402</v>
      </c>
      <c r="E227" s="184" t="s">
        <v>403</v>
      </c>
      <c r="G227" s="181"/>
      <c r="H227" s="182"/>
      <c r="I227" s="183" t="s">
        <v>402</v>
      </c>
      <c r="J227" s="184" t="s">
        <v>403</v>
      </c>
      <c r="L227" s="181"/>
      <c r="M227" s="182"/>
      <c r="N227" s="183" t="s">
        <v>402</v>
      </c>
      <c r="O227" s="184" t="s">
        <v>403</v>
      </c>
      <c r="Q227" s="181"/>
      <c r="R227" s="182"/>
      <c r="S227" s="183"/>
      <c r="T227" s="184"/>
      <c r="V227" s="181"/>
      <c r="W227" s="182"/>
      <c r="X227" s="183" t="s">
        <v>402</v>
      </c>
      <c r="Y227" s="184" t="s">
        <v>403</v>
      </c>
      <c r="AA227" s="181"/>
      <c r="AB227" s="182"/>
      <c r="AC227" s="183" t="s">
        <v>402</v>
      </c>
      <c r="AD227" s="184" t="s">
        <v>403</v>
      </c>
      <c r="AF227" s="181"/>
      <c r="AG227" s="182"/>
      <c r="AH227" s="183" t="s">
        <v>402</v>
      </c>
      <c r="AI227" s="184" t="s">
        <v>403</v>
      </c>
      <c r="AK227" s="181"/>
      <c r="AL227" s="182"/>
      <c r="AM227" s="183"/>
      <c r="AN227" s="184"/>
      <c r="AP227" s="181"/>
      <c r="AQ227" s="182"/>
      <c r="AR227" s="183" t="s">
        <v>402</v>
      </c>
      <c r="AS227" s="184" t="s">
        <v>403</v>
      </c>
      <c r="AU227" s="181"/>
      <c r="AV227" s="182"/>
      <c r="AW227" s="183" t="s">
        <v>402</v>
      </c>
      <c r="AX227" s="184" t="s">
        <v>403</v>
      </c>
    </row>
    <row r="228" spans="2:50" s="94" customFormat="1" ht="12.75">
      <c r="B228" s="175" t="s">
        <v>404</v>
      </c>
      <c r="C228" s="96"/>
      <c r="D228" s="185">
        <f>D215</f>
        <v>1</v>
      </c>
      <c r="E228" s="186">
        <f>E215</f>
        <v>1</v>
      </c>
      <c r="G228" s="175" t="s">
        <v>404</v>
      </c>
      <c r="H228" s="96"/>
      <c r="I228" s="185">
        <f>I215</f>
        <v>1</v>
      </c>
      <c r="J228" s="186">
        <f>J215</f>
        <v>1</v>
      </c>
      <c r="L228" s="175" t="s">
        <v>404</v>
      </c>
      <c r="M228" s="96"/>
      <c r="N228" s="185">
        <f aca="true" t="shared" si="16" ref="N228:O231">N204</f>
        <v>1</v>
      </c>
      <c r="O228" s="186">
        <f t="shared" si="16"/>
        <v>1</v>
      </c>
      <c r="Q228" s="175"/>
      <c r="R228" s="96"/>
      <c r="S228" s="185"/>
      <c r="T228" s="186"/>
      <c r="V228" s="175" t="s">
        <v>404</v>
      </c>
      <c r="W228" s="96"/>
      <c r="X228" s="185">
        <f>X215</f>
        <v>0</v>
      </c>
      <c r="Y228" s="186">
        <f>Y215</f>
        <v>0</v>
      </c>
      <c r="AA228" s="175" t="s">
        <v>404</v>
      </c>
      <c r="AB228" s="96"/>
      <c r="AC228" s="185">
        <f>AC215</f>
        <v>1</v>
      </c>
      <c r="AD228" s="186">
        <f>AD215</f>
        <v>1</v>
      </c>
      <c r="AF228" s="175" t="s">
        <v>404</v>
      </c>
      <c r="AG228" s="96"/>
      <c r="AH228" s="185">
        <f>AH214</f>
        <v>1</v>
      </c>
      <c r="AI228" s="186">
        <f>AI214</f>
        <v>1</v>
      </c>
      <c r="AK228" s="175"/>
      <c r="AL228" s="96"/>
      <c r="AM228" s="185"/>
      <c r="AN228" s="186"/>
      <c r="AP228" s="175" t="s">
        <v>404</v>
      </c>
      <c r="AQ228" s="96"/>
      <c r="AR228" s="185">
        <f>AR215</f>
        <v>0</v>
      </c>
      <c r="AS228" s="186">
        <f>AS215</f>
        <v>0</v>
      </c>
      <c r="AU228" s="175" t="s">
        <v>404</v>
      </c>
      <c r="AV228" s="96"/>
      <c r="AW228" s="185">
        <f>AW220</f>
        <v>1</v>
      </c>
      <c r="AX228" s="186">
        <f>AX220</f>
        <v>1</v>
      </c>
    </row>
    <row r="229" spans="2:50" s="94" customFormat="1" ht="12.75">
      <c r="B229" s="175" t="s">
        <v>405</v>
      </c>
      <c r="C229" s="96"/>
      <c r="D229" s="187">
        <f>D213</f>
        <v>1</v>
      </c>
      <c r="E229" s="188">
        <f>E213+E214</f>
        <v>2</v>
      </c>
      <c r="G229" s="175" t="s">
        <v>405</v>
      </c>
      <c r="H229" s="96"/>
      <c r="I229" s="187">
        <f>I214</f>
        <v>1</v>
      </c>
      <c r="J229" s="188">
        <f>J213+J214</f>
        <v>2</v>
      </c>
      <c r="L229" s="175" t="s">
        <v>405</v>
      </c>
      <c r="M229" s="96"/>
      <c r="N229" s="187">
        <f t="shared" si="16"/>
        <v>1</v>
      </c>
      <c r="O229" s="188">
        <f t="shared" si="16"/>
        <v>1</v>
      </c>
      <c r="Q229" s="175"/>
      <c r="R229" s="96"/>
      <c r="S229" s="187"/>
      <c r="T229" s="188"/>
      <c r="V229" s="175" t="s">
        <v>405</v>
      </c>
      <c r="W229" s="96"/>
      <c r="X229" s="187">
        <f>X213</f>
        <v>1</v>
      </c>
      <c r="Y229" s="188">
        <f>Y213+Y214</f>
        <v>2</v>
      </c>
      <c r="AA229" s="175" t="s">
        <v>405</v>
      </c>
      <c r="AB229" s="96"/>
      <c r="AC229" s="187">
        <f>AC213</f>
        <v>1</v>
      </c>
      <c r="AD229" s="188">
        <f>AD213+AD214</f>
        <v>2</v>
      </c>
      <c r="AF229" s="175" t="s">
        <v>405</v>
      </c>
      <c r="AG229" s="96"/>
      <c r="AH229" s="187">
        <f>AH204</f>
        <v>1</v>
      </c>
      <c r="AI229" s="188">
        <f>AI204</f>
        <v>1</v>
      </c>
      <c r="AK229" s="175"/>
      <c r="AL229" s="96"/>
      <c r="AM229" s="187"/>
      <c r="AN229" s="188"/>
      <c r="AP229" s="175" t="s">
        <v>405</v>
      </c>
      <c r="AQ229" s="96"/>
      <c r="AR229" s="187">
        <f>AR213</f>
        <v>0</v>
      </c>
      <c r="AS229" s="188">
        <f>AS213+AS214</f>
        <v>0</v>
      </c>
      <c r="AU229" s="175" t="s">
        <v>405</v>
      </c>
      <c r="AV229" s="96"/>
      <c r="AW229" s="187">
        <f>AW219</f>
        <v>1</v>
      </c>
      <c r="AX229" s="188">
        <f>AX219</f>
        <v>1</v>
      </c>
    </row>
    <row r="230" spans="2:50" s="94" customFormat="1" ht="12.75">
      <c r="B230" s="175" t="s">
        <v>406</v>
      </c>
      <c r="C230" s="96"/>
      <c r="D230" s="189">
        <f>D211</f>
        <v>1</v>
      </c>
      <c r="E230" s="190">
        <f>E211+E212</f>
        <v>2</v>
      </c>
      <c r="G230" s="175" t="s">
        <v>406</v>
      </c>
      <c r="H230" s="96"/>
      <c r="I230" s="189">
        <f>I211</f>
        <v>1</v>
      </c>
      <c r="J230" s="190">
        <f>J211+J212</f>
        <v>2</v>
      </c>
      <c r="L230" s="175" t="s">
        <v>406</v>
      </c>
      <c r="M230" s="96"/>
      <c r="N230" s="189">
        <f t="shared" si="16"/>
        <v>1</v>
      </c>
      <c r="O230" s="190">
        <f t="shared" si="16"/>
        <v>1</v>
      </c>
      <c r="Q230" s="175"/>
      <c r="R230" s="96"/>
      <c r="S230" s="189"/>
      <c r="T230" s="190"/>
      <c r="V230" s="175" t="s">
        <v>406</v>
      </c>
      <c r="W230" s="96"/>
      <c r="X230" s="189">
        <f>X211</f>
        <v>1</v>
      </c>
      <c r="Y230" s="190">
        <f>Y211+Y212</f>
        <v>2</v>
      </c>
      <c r="AA230" s="175" t="s">
        <v>406</v>
      </c>
      <c r="AB230" s="96"/>
      <c r="AC230" s="189">
        <f>AC211</f>
        <v>1</v>
      </c>
      <c r="AD230" s="190">
        <f>AD211+AD212</f>
        <v>2</v>
      </c>
      <c r="AF230" s="175" t="s">
        <v>406</v>
      </c>
      <c r="AG230" s="96"/>
      <c r="AH230" s="189">
        <f>(AH205*AI205+AH206*AI206)/(AI205+AI206)</f>
        <v>1</v>
      </c>
      <c r="AI230" s="190">
        <f>AI205+AI206</f>
        <v>2</v>
      </c>
      <c r="AK230" s="175"/>
      <c r="AL230" s="96"/>
      <c r="AM230" s="189"/>
      <c r="AN230" s="190"/>
      <c r="AP230" s="175" t="s">
        <v>406</v>
      </c>
      <c r="AQ230" s="96"/>
      <c r="AR230" s="189">
        <f>AR211</f>
        <v>1</v>
      </c>
      <c r="AS230" s="190">
        <f>AS211</f>
        <v>1</v>
      </c>
      <c r="AU230" s="175" t="s">
        <v>406</v>
      </c>
      <c r="AV230" s="96"/>
      <c r="AW230" s="189">
        <f>SUMPRODUCT(AW215:AW218,AX215:AX218)/SUM(AX215:AX218)</f>
        <v>1</v>
      </c>
      <c r="AX230" s="190">
        <f>SUM(AX215:AX218)</f>
        <v>4</v>
      </c>
    </row>
    <row r="231" spans="2:50" s="94" customFormat="1" ht="12.75">
      <c r="B231" s="175" t="s">
        <v>394</v>
      </c>
      <c r="C231" s="96"/>
      <c r="D231" s="191">
        <f>(D210*E210+D209*E209)/(E209+E210)</f>
        <v>1</v>
      </c>
      <c r="E231" s="192">
        <f>E210+E209</f>
        <v>2</v>
      </c>
      <c r="G231" s="175" t="s">
        <v>394</v>
      </c>
      <c r="H231" s="96"/>
      <c r="I231" s="191">
        <f>(I209*J209+I210*J210)/(J209+J210)</f>
        <v>1</v>
      </c>
      <c r="J231" s="192">
        <f>J209+J210</f>
        <v>2</v>
      </c>
      <c r="L231" s="175" t="s">
        <v>394</v>
      </c>
      <c r="M231" s="96"/>
      <c r="N231" s="191">
        <f t="shared" si="16"/>
        <v>1</v>
      </c>
      <c r="O231" s="192">
        <f t="shared" si="16"/>
        <v>1</v>
      </c>
      <c r="Q231" s="175"/>
      <c r="R231" s="96"/>
      <c r="S231" s="191"/>
      <c r="T231" s="192"/>
      <c r="V231" s="175" t="s">
        <v>394</v>
      </c>
      <c r="W231" s="96"/>
      <c r="X231" s="191">
        <f>(X210*Y210+X209*Y209)/(Y209+Y210)</f>
        <v>1</v>
      </c>
      <c r="Y231" s="192">
        <f>Y210+Y209</f>
        <v>2</v>
      </c>
      <c r="AA231" s="175" t="s">
        <v>394</v>
      </c>
      <c r="AB231" s="96"/>
      <c r="AC231" s="191">
        <f>AC209</f>
        <v>1</v>
      </c>
      <c r="AD231" s="192">
        <f>AD209</f>
        <v>1</v>
      </c>
      <c r="AF231" s="175" t="s">
        <v>394</v>
      </c>
      <c r="AG231" s="96"/>
      <c r="AH231" s="191">
        <f>(AH207*AI207+AH208*AI208)/(AI207+AI208)</f>
        <v>1</v>
      </c>
      <c r="AI231" s="192">
        <f>AI207+AI208</f>
        <v>2</v>
      </c>
      <c r="AK231" s="175"/>
      <c r="AL231" s="96"/>
      <c r="AM231" s="191"/>
      <c r="AN231" s="192"/>
      <c r="AP231" s="175" t="s">
        <v>394</v>
      </c>
      <c r="AQ231" s="96"/>
      <c r="AR231" s="191">
        <f>(AR209*AS209+AR210*AS210)/(AS209+AS210)</f>
        <v>1</v>
      </c>
      <c r="AS231" s="192">
        <f>AS209+AS210</f>
        <v>2</v>
      </c>
      <c r="AU231" s="175" t="s">
        <v>394</v>
      </c>
      <c r="AV231" s="96"/>
      <c r="AW231" s="191">
        <f>SUMPRODUCT(AW209:AW214,AX209:AX214)/SUM(AX209:AX214)</f>
        <v>1</v>
      </c>
      <c r="AX231" s="192">
        <f>SUM(AX209:AX214)</f>
        <v>6</v>
      </c>
    </row>
    <row r="232" spans="2:50" s="94" customFormat="1" ht="12.75">
      <c r="B232" s="175" t="s">
        <v>397</v>
      </c>
      <c r="C232" s="96"/>
      <c r="D232" s="193">
        <f>D208</f>
        <v>1</v>
      </c>
      <c r="E232" s="194">
        <f>E208</f>
        <v>1</v>
      </c>
      <c r="G232" s="175" t="s">
        <v>397</v>
      </c>
      <c r="H232" s="96"/>
      <c r="I232" s="193">
        <f>I208</f>
        <v>1</v>
      </c>
      <c r="J232" s="194">
        <f>J208</f>
        <v>1</v>
      </c>
      <c r="L232" s="175" t="s">
        <v>397</v>
      </c>
      <c r="M232" s="96"/>
      <c r="N232" s="193">
        <f>(N208*O208+N209*O209)/(O208+O209)</f>
        <v>1</v>
      </c>
      <c r="O232" s="194">
        <f>O208+O209</f>
        <v>2</v>
      </c>
      <c r="Q232" s="175"/>
      <c r="R232" s="96"/>
      <c r="S232" s="193"/>
      <c r="T232" s="194"/>
      <c r="V232" s="175" t="s">
        <v>397</v>
      </c>
      <c r="W232" s="96"/>
      <c r="X232" s="193">
        <f>X208</f>
        <v>1</v>
      </c>
      <c r="Y232" s="194">
        <f>Y208</f>
        <v>1</v>
      </c>
      <c r="AA232" s="175" t="s">
        <v>397</v>
      </c>
      <c r="AB232" s="96"/>
      <c r="AC232" s="193">
        <f>AC208</f>
        <v>1</v>
      </c>
      <c r="AD232" s="194">
        <f>AD208</f>
        <v>1</v>
      </c>
      <c r="AF232" s="175" t="s">
        <v>397</v>
      </c>
      <c r="AG232" s="96"/>
      <c r="AH232" s="193">
        <f>SUMPRODUCT(AH209:AH211,AI209:AI211)/SUM(AI209:AI211)</f>
        <v>1</v>
      </c>
      <c r="AI232" s="194">
        <f>SUM(AI209:AI211)</f>
        <v>3</v>
      </c>
      <c r="AK232" s="175"/>
      <c r="AL232" s="96"/>
      <c r="AM232" s="193"/>
      <c r="AN232" s="194"/>
      <c r="AP232" s="175" t="s">
        <v>397</v>
      </c>
      <c r="AQ232" s="96"/>
      <c r="AR232" s="193">
        <f>(AR207*AS207+AR208*AS208)/(AS207+AS208)</f>
        <v>1</v>
      </c>
      <c r="AS232" s="194">
        <f>AS207+AS208</f>
        <v>2</v>
      </c>
      <c r="AU232" s="175" t="s">
        <v>397</v>
      </c>
      <c r="AV232" s="96"/>
      <c r="AW232" s="193">
        <f>SUMPRODUCT(AW205:AW208,AX205:AX208)/SUM(AX205:AX208)</f>
        <v>1</v>
      </c>
      <c r="AX232" s="194">
        <f>SUM(AX205:AX208)</f>
        <v>4</v>
      </c>
    </row>
    <row r="233" spans="2:50" s="94" customFormat="1" ht="12.75">
      <c r="B233" s="178" t="s">
        <v>400</v>
      </c>
      <c r="C233" s="195"/>
      <c r="D233" s="196"/>
      <c r="E233" s="197"/>
      <c r="G233" s="178" t="s">
        <v>400</v>
      </c>
      <c r="H233" s="195"/>
      <c r="I233" s="196">
        <f>I206</f>
        <v>1</v>
      </c>
      <c r="J233" s="197">
        <f>J206</f>
        <v>1</v>
      </c>
      <c r="L233" s="178" t="s">
        <v>400</v>
      </c>
      <c r="M233" s="195"/>
      <c r="N233" s="196">
        <f>N210</f>
        <v>1</v>
      </c>
      <c r="O233" s="197">
        <f>O210</f>
        <v>1</v>
      </c>
      <c r="Q233" s="178"/>
      <c r="R233" s="195"/>
      <c r="S233" s="196"/>
      <c r="T233" s="197"/>
      <c r="V233" s="178" t="s">
        <v>400</v>
      </c>
      <c r="W233" s="195"/>
      <c r="X233" s="196">
        <f>(X206*Y206+X207*Y207)/(Y206+Y207)</f>
        <v>1</v>
      </c>
      <c r="Y233" s="197">
        <f>Y206+Y207</f>
        <v>2</v>
      </c>
      <c r="AA233" s="178" t="s">
        <v>400</v>
      </c>
      <c r="AB233" s="195"/>
      <c r="AC233" s="196">
        <f>AC207</f>
        <v>1</v>
      </c>
      <c r="AD233" s="197">
        <f>AD207</f>
        <v>1</v>
      </c>
      <c r="AF233" s="178" t="s">
        <v>400</v>
      </c>
      <c r="AG233" s="195"/>
      <c r="AH233" s="196">
        <f>(AH212*AI212+AH213*AI213)/(AI212+AI213)</f>
        <v>1</v>
      </c>
      <c r="AI233" s="197">
        <f>AI212+AI213</f>
        <v>2</v>
      </c>
      <c r="AK233" s="178"/>
      <c r="AL233" s="195"/>
      <c r="AM233" s="196"/>
      <c r="AN233" s="197"/>
      <c r="AP233" s="178" t="s">
        <v>400</v>
      </c>
      <c r="AQ233" s="195"/>
      <c r="AR233" s="196"/>
      <c r="AS233" s="197"/>
      <c r="AU233" s="178" t="s">
        <v>400</v>
      </c>
      <c r="AV233" s="195"/>
      <c r="AW233" s="196">
        <f>AW204</f>
        <v>1</v>
      </c>
      <c r="AX233" s="197">
        <f>AX204</f>
        <v>1</v>
      </c>
    </row>
    <row r="234" spans="2:50" s="86" customFormat="1" ht="12.75">
      <c r="B234" s="31"/>
      <c r="C234" s="31"/>
      <c r="D234" s="202"/>
      <c r="E234" s="116"/>
      <c r="G234" s="31"/>
      <c r="H234" s="31"/>
      <c r="I234" s="202"/>
      <c r="J234" s="116"/>
      <c r="L234" s="31"/>
      <c r="M234" s="31"/>
      <c r="N234" s="202"/>
      <c r="O234" s="116"/>
      <c r="Q234" s="31"/>
      <c r="R234" s="31"/>
      <c r="S234" s="202"/>
      <c r="T234" s="116"/>
      <c r="V234" s="31"/>
      <c r="W234" s="31"/>
      <c r="X234" s="202"/>
      <c r="Y234" s="116"/>
      <c r="AA234" s="31"/>
      <c r="AB234" s="31"/>
      <c r="AC234" s="202"/>
      <c r="AD234" s="116"/>
      <c r="AF234" s="31"/>
      <c r="AG234" s="31"/>
      <c r="AH234" s="202"/>
      <c r="AI234" s="116"/>
      <c r="AK234" s="31"/>
      <c r="AL234" s="31"/>
      <c r="AM234" s="202"/>
      <c r="AN234" s="116"/>
      <c r="AP234" s="31"/>
      <c r="AQ234" s="31"/>
      <c r="AR234" s="202"/>
      <c r="AS234" s="116"/>
      <c r="AU234" s="31"/>
      <c r="AV234" s="31"/>
      <c r="AW234" s="202"/>
      <c r="AX234" s="116"/>
    </row>
    <row r="235" spans="1:12" s="199" customFormat="1" ht="12.75">
      <c r="A235" s="199" t="s">
        <v>473</v>
      </c>
      <c r="B235" s="83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</row>
    <row r="236" spans="2:19" s="105" customFormat="1" ht="93">
      <c r="B236" s="98" t="s">
        <v>146</v>
      </c>
      <c r="C236" s="98" t="s">
        <v>29</v>
      </c>
      <c r="D236" s="98" t="s">
        <v>455</v>
      </c>
      <c r="E236" s="98" t="s">
        <v>427</v>
      </c>
      <c r="F236" s="98" t="s">
        <v>150</v>
      </c>
      <c r="G236" s="98" t="s">
        <v>151</v>
      </c>
      <c r="H236" s="98" t="s">
        <v>147</v>
      </c>
      <c r="I236" s="98" t="s">
        <v>30</v>
      </c>
      <c r="J236" s="98"/>
      <c r="K236" s="98" t="s">
        <v>226</v>
      </c>
      <c r="L236" s="99" t="s">
        <v>227</v>
      </c>
      <c r="M236" s="98" t="s">
        <v>195</v>
      </c>
      <c r="N236" s="99" t="s">
        <v>228</v>
      </c>
      <c r="O236" s="31"/>
      <c r="P236" s="31"/>
      <c r="Q236" s="31"/>
      <c r="R236" s="31"/>
      <c r="S236" s="31"/>
    </row>
    <row r="237" spans="1:19" s="105" customFormat="1" ht="12.75">
      <c r="A237" s="345" t="s">
        <v>423</v>
      </c>
      <c r="B237" s="209">
        <v>0</v>
      </c>
      <c r="C237" s="115">
        <v>104124</v>
      </c>
      <c r="D237" s="115">
        <v>0</v>
      </c>
      <c r="E237" s="115">
        <v>0</v>
      </c>
      <c r="F237" s="115">
        <v>532006</v>
      </c>
      <c r="G237" s="115">
        <v>5615</v>
      </c>
      <c r="H237" s="339">
        <v>1250336.59</v>
      </c>
      <c r="I237" s="115">
        <v>1533.33333333333</v>
      </c>
      <c r="J237" s="99"/>
      <c r="K237" s="206">
        <v>0</v>
      </c>
      <c r="L237" s="342"/>
      <c r="M237" s="206">
        <v>0</v>
      </c>
      <c r="N237" s="343"/>
      <c r="O237" s="31"/>
      <c r="P237" s="31"/>
      <c r="Q237" s="31"/>
      <c r="R237" s="31"/>
      <c r="S237" s="31"/>
    </row>
    <row r="238" spans="1:19" s="105" customFormat="1" ht="12.75">
      <c r="A238" s="345" t="s">
        <v>424</v>
      </c>
      <c r="B238" s="209">
        <v>0</v>
      </c>
      <c r="C238" s="115">
        <v>104124</v>
      </c>
      <c r="D238" s="115">
        <v>1932.3973414864056</v>
      </c>
      <c r="E238" s="115">
        <v>0</v>
      </c>
      <c r="F238" s="115">
        <v>648701.865</v>
      </c>
      <c r="G238" s="115">
        <v>5615</v>
      </c>
      <c r="H238" s="115">
        <v>215750.65627356584</v>
      </c>
      <c r="I238" s="115">
        <v>2302.2927050294516</v>
      </c>
      <c r="J238" s="99"/>
      <c r="K238" s="209">
        <v>15114</v>
      </c>
      <c r="L238" s="342"/>
      <c r="M238" s="206">
        <v>0</v>
      </c>
      <c r="N238" s="343"/>
      <c r="O238" s="31"/>
      <c r="P238" s="31"/>
      <c r="Q238" s="31"/>
      <c r="R238" s="31"/>
      <c r="S238" s="31"/>
    </row>
    <row r="239" spans="1:19" s="105" customFormat="1" ht="12.75">
      <c r="A239" s="345" t="s">
        <v>425</v>
      </c>
      <c r="B239" s="209">
        <v>0</v>
      </c>
      <c r="C239" s="115">
        <v>151046.3333333333</v>
      </c>
      <c r="D239" s="115">
        <v>3238.3301322237844</v>
      </c>
      <c r="E239" s="115">
        <v>0</v>
      </c>
      <c r="F239" s="115">
        <v>653758.8023525178</v>
      </c>
      <c r="G239" s="115">
        <v>5615</v>
      </c>
      <c r="H239" s="115">
        <v>212423.55224626875</v>
      </c>
      <c r="I239" s="115">
        <v>2302.5</v>
      </c>
      <c r="J239" s="99"/>
      <c r="K239" s="342"/>
      <c r="L239" s="342"/>
      <c r="M239" s="342"/>
      <c r="N239" s="343"/>
      <c r="O239" s="31"/>
      <c r="P239" s="31"/>
      <c r="Q239" s="31"/>
      <c r="R239" s="31"/>
      <c r="S239" s="31"/>
    </row>
    <row r="240" spans="1:19" s="105" customFormat="1" ht="12.75">
      <c r="A240" s="345" t="s">
        <v>426</v>
      </c>
      <c r="B240" s="210"/>
      <c r="C240" s="210"/>
      <c r="D240" s="210"/>
      <c r="E240" s="210"/>
      <c r="F240" s="210"/>
      <c r="G240" s="210"/>
      <c r="H240" s="210"/>
      <c r="I240" s="210"/>
      <c r="J240" s="99"/>
      <c r="K240" s="342"/>
      <c r="L240" s="342"/>
      <c r="M240" s="342"/>
      <c r="N240" s="343"/>
      <c r="O240" s="31"/>
      <c r="P240" s="31"/>
      <c r="Q240" s="31"/>
      <c r="R240" s="31"/>
      <c r="S240" s="31"/>
    </row>
    <row r="241" spans="1:19" s="105" customFormat="1" ht="12.75">
      <c r="A241" s="345"/>
      <c r="B241" s="98"/>
      <c r="C241" s="340"/>
      <c r="D241" s="98"/>
      <c r="E241" s="98"/>
      <c r="F241" s="98"/>
      <c r="G241" s="98"/>
      <c r="H241" s="340"/>
      <c r="I241" s="98"/>
      <c r="J241" s="99"/>
      <c r="K241" s="99"/>
      <c r="L241" s="342"/>
      <c r="M241" s="99"/>
      <c r="N241" s="343"/>
      <c r="O241" s="31"/>
      <c r="P241" s="31"/>
      <c r="Q241" s="31"/>
      <c r="R241" s="31"/>
      <c r="S241" s="31"/>
    </row>
    <row r="242" spans="1:19" s="105" customFormat="1" ht="12.75">
      <c r="A242" s="345"/>
      <c r="B242" s="98"/>
      <c r="C242" s="98"/>
      <c r="D242" s="98"/>
      <c r="E242" s="98"/>
      <c r="F242" s="98"/>
      <c r="G242" s="98"/>
      <c r="H242" s="98"/>
      <c r="I242" s="98"/>
      <c r="J242" s="99"/>
      <c r="K242" s="99"/>
      <c r="L242" s="342"/>
      <c r="M242" s="99"/>
      <c r="N242" s="343"/>
      <c r="O242" s="31"/>
      <c r="P242" s="31"/>
      <c r="Q242" s="31"/>
      <c r="R242" s="31"/>
      <c r="S242" s="31"/>
    </row>
    <row r="243" spans="1:19" s="105" customFormat="1" ht="12.75">
      <c r="A243" s="345" t="s">
        <v>422</v>
      </c>
      <c r="B243" s="207">
        <v>0</v>
      </c>
      <c r="C243" s="208">
        <v>1.68</v>
      </c>
      <c r="D243" s="208">
        <v>0</v>
      </c>
      <c r="E243" s="208">
        <v>0</v>
      </c>
      <c r="F243" s="208">
        <v>0</v>
      </c>
      <c r="G243" s="208">
        <v>11.03</v>
      </c>
      <c r="H243" s="208">
        <v>1.4019934192280177</v>
      </c>
      <c r="I243" s="208">
        <v>3.66</v>
      </c>
      <c r="J243" s="99"/>
      <c r="K243" s="206">
        <v>0</v>
      </c>
      <c r="L243" s="342"/>
      <c r="M243" s="206">
        <v>0</v>
      </c>
      <c r="N243" s="343"/>
      <c r="O243" s="31"/>
      <c r="P243" s="31"/>
      <c r="Q243" s="31"/>
      <c r="R243" s="31"/>
      <c r="S243" s="31"/>
    </row>
    <row r="244" spans="1:19" s="105" customFormat="1" ht="12.75">
      <c r="A244" s="345" t="s">
        <v>421</v>
      </c>
      <c r="B244" s="207">
        <v>0</v>
      </c>
      <c r="C244" s="208">
        <v>1.6816499999999999</v>
      </c>
      <c r="D244" s="208">
        <v>5</v>
      </c>
      <c r="E244" s="208">
        <v>0</v>
      </c>
      <c r="F244" s="208">
        <v>1.498442871068698</v>
      </c>
      <c r="G244" s="208">
        <v>11.48</v>
      </c>
      <c r="H244" s="208">
        <v>6.735001622231607</v>
      </c>
      <c r="I244" s="208">
        <v>3.6783333333333337</v>
      </c>
      <c r="K244" s="206">
        <v>3.53</v>
      </c>
      <c r="L244" s="344"/>
      <c r="M244" s="206">
        <v>0</v>
      </c>
      <c r="N244" s="344"/>
      <c r="O244" s="31"/>
      <c r="P244" s="31"/>
      <c r="Q244" s="31"/>
      <c r="R244" s="31"/>
      <c r="S244" s="31"/>
    </row>
    <row r="245" spans="1:19" s="105" customFormat="1" ht="12.75">
      <c r="A245" s="345" t="s">
        <v>420</v>
      </c>
      <c r="B245" s="207">
        <v>0</v>
      </c>
      <c r="C245" s="208">
        <v>1.6818</v>
      </c>
      <c r="D245" s="208">
        <v>5</v>
      </c>
      <c r="E245" s="208">
        <v>0</v>
      </c>
      <c r="F245" s="208">
        <v>1.5</v>
      </c>
      <c r="G245" s="208">
        <v>11.46</v>
      </c>
      <c r="H245" s="208">
        <v>6.72</v>
      </c>
      <c r="I245" s="208">
        <v>3.68</v>
      </c>
      <c r="K245" s="344"/>
      <c r="L245" s="344"/>
      <c r="M245" s="344"/>
      <c r="N245" s="344"/>
      <c r="O245" s="31"/>
      <c r="P245" s="31"/>
      <c r="Q245" s="31"/>
      <c r="R245" s="31"/>
      <c r="S245" s="31"/>
    </row>
    <row r="246" spans="1:19" s="105" customFormat="1" ht="12.75">
      <c r="A246" s="345" t="s">
        <v>419</v>
      </c>
      <c r="B246" s="338"/>
      <c r="C246" s="338"/>
      <c r="D246" s="338"/>
      <c r="E246" s="338"/>
      <c r="F246" s="338"/>
      <c r="G246" s="338"/>
      <c r="H246" s="338"/>
      <c r="I246" s="338"/>
      <c r="J246" s="99"/>
      <c r="K246" s="342"/>
      <c r="L246" s="342"/>
      <c r="M246" s="342"/>
      <c r="N246" s="343"/>
      <c r="O246" s="31"/>
      <c r="P246" s="31"/>
      <c r="Q246" s="31"/>
      <c r="R246" s="31"/>
      <c r="S246" s="31"/>
    </row>
    <row r="247" spans="1:19" s="105" customFormat="1" ht="12.75">
      <c r="A247" s="345" t="s">
        <v>418</v>
      </c>
      <c r="B247" s="207">
        <v>0</v>
      </c>
      <c r="C247" s="208">
        <v>1.47</v>
      </c>
      <c r="D247" s="208">
        <v>2.86</v>
      </c>
      <c r="E247" s="544">
        <v>4.4</v>
      </c>
      <c r="F247" s="208">
        <v>1.44</v>
      </c>
      <c r="G247" s="208">
        <v>11.45</v>
      </c>
      <c r="H247" s="208">
        <v>5.28</v>
      </c>
      <c r="I247" s="208">
        <v>3.76</v>
      </c>
      <c r="K247" s="344">
        <v>0</v>
      </c>
      <c r="L247" s="344">
        <v>0</v>
      </c>
      <c r="M247" s="344">
        <v>0</v>
      </c>
      <c r="N247" s="344">
        <v>0</v>
      </c>
      <c r="O247" s="31"/>
      <c r="P247" s="31"/>
      <c r="Q247" s="31"/>
      <c r="R247" s="31"/>
      <c r="S247" s="31"/>
    </row>
    <row r="248" spans="2:20" s="105" customFormat="1" ht="12.75">
      <c r="B248" s="98"/>
      <c r="C248" s="341"/>
      <c r="D248" s="341"/>
      <c r="E248" s="98"/>
      <c r="F248" s="98"/>
      <c r="G248" s="98"/>
      <c r="H248" s="98"/>
      <c r="I248" s="98"/>
      <c r="J248" s="98"/>
      <c r="K248" s="99"/>
      <c r="L248" s="99"/>
      <c r="M248" s="99"/>
      <c r="N248" s="99"/>
      <c r="O248" s="31"/>
      <c r="P248" s="31"/>
      <c r="Q248" s="31"/>
      <c r="R248" s="31"/>
      <c r="S248" s="31"/>
      <c r="T248" s="31"/>
    </row>
    <row r="249" spans="2:20" ht="12.75">
      <c r="B249" s="94"/>
      <c r="C249" s="96"/>
      <c r="D249" s="96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</row>
    <row r="250" spans="2:20" ht="12.75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B2:S44"/>
  <sheetViews>
    <sheetView showGridLines="0" tabSelected="1" zoomScale="85" zoomScaleNormal="85" workbookViewId="0" topLeftCell="A1">
      <selection activeCell="F7" sqref="F7"/>
    </sheetView>
  </sheetViews>
  <sheetFormatPr defaultColWidth="9.140625" defaultRowHeight="12.75"/>
  <cols>
    <col min="1" max="1" width="9.140625" style="23" customWidth="1"/>
    <col min="2" max="4" width="9.140625" style="470" customWidth="1"/>
    <col min="5" max="5" width="11.28125" style="470" bestFit="1" customWidth="1"/>
    <col min="6" max="12" width="9.140625" style="470" customWidth="1"/>
    <col min="13" max="16384" width="9.140625" style="23" customWidth="1"/>
  </cols>
  <sheetData>
    <row r="2" spans="2:4" s="2" customFormat="1" ht="94.5" customHeight="1">
      <c r="B2" s="3" t="s">
        <v>190</v>
      </c>
      <c r="C2" s="3"/>
      <c r="D2" s="3"/>
    </row>
    <row r="4" spans="2:19" s="5" customFormat="1" ht="12.75">
      <c r="B4" s="6" t="s">
        <v>224</v>
      </c>
      <c r="R4" s="7"/>
      <c r="S4" s="7"/>
    </row>
    <row r="5" spans="2:3" ht="12.75">
      <c r="B5" s="114"/>
      <c r="C5" s="502"/>
    </row>
    <row r="6" spans="3:4" ht="12.75">
      <c r="C6" s="503" t="s">
        <v>221</v>
      </c>
      <c r="D6" s="503" t="s">
        <v>225</v>
      </c>
    </row>
    <row r="7" spans="2:5" ht="12.75">
      <c r="B7" s="114">
        <v>2001</v>
      </c>
      <c r="C7" s="504">
        <v>0.025</v>
      </c>
      <c r="D7" s="504">
        <v>0.066</v>
      </c>
      <c r="E7" s="114"/>
    </row>
    <row r="8" spans="2:5" ht="12.75">
      <c r="B8" s="114">
        <v>2002</v>
      </c>
      <c r="C8" s="504">
        <v>0.047</v>
      </c>
      <c r="D8" s="504">
        <v>0.066</v>
      </c>
      <c r="E8" s="114"/>
    </row>
    <row r="9" spans="2:5" ht="12.75">
      <c r="B9" s="114">
        <v>2003</v>
      </c>
      <c r="C9" s="504">
        <v>0.033</v>
      </c>
      <c r="D9" s="504">
        <v>0.066</v>
      </c>
      <c r="E9" s="114"/>
    </row>
    <row r="10" spans="2:5" ht="12.75">
      <c r="B10" s="114">
        <v>2004</v>
      </c>
      <c r="C10" s="504">
        <v>0.021</v>
      </c>
      <c r="D10" s="504">
        <v>0.066</v>
      </c>
      <c r="E10" s="114"/>
    </row>
    <row r="11" spans="2:5" ht="12.75">
      <c r="B11" s="114">
        <v>2005</v>
      </c>
      <c r="C11" s="504">
        <v>0.011</v>
      </c>
      <c r="D11" s="504">
        <v>0.066</v>
      </c>
      <c r="E11" s="114"/>
    </row>
    <row r="12" spans="2:5" ht="12.75">
      <c r="B12" s="114">
        <v>2006</v>
      </c>
      <c r="C12" s="504">
        <v>0.018</v>
      </c>
      <c r="D12" s="504">
        <v>0.066</v>
      </c>
      <c r="E12" s="114"/>
    </row>
    <row r="13" spans="2:5" ht="12.75">
      <c r="B13" s="114">
        <v>2007</v>
      </c>
      <c r="C13" s="504">
        <v>0.014</v>
      </c>
      <c r="D13" s="504">
        <v>0.058</v>
      </c>
      <c r="E13" s="114"/>
    </row>
    <row r="14" spans="2:5" ht="12.75">
      <c r="B14" s="114">
        <v>2008</v>
      </c>
      <c r="C14" s="504">
        <v>0.011</v>
      </c>
      <c r="D14" s="504">
        <v>0.055</v>
      </c>
      <c r="E14" s="114"/>
    </row>
    <row r="15" spans="2:5" ht="12.75">
      <c r="B15" s="114">
        <v>2009</v>
      </c>
      <c r="C15" s="504">
        <v>0.032</v>
      </c>
      <c r="D15" s="504">
        <v>0.055</v>
      </c>
      <c r="E15" s="114"/>
    </row>
    <row r="16" spans="2:5" ht="12.75">
      <c r="B16" s="114">
        <v>2010</v>
      </c>
      <c r="C16" s="504">
        <v>0.003</v>
      </c>
      <c r="D16" s="504">
        <v>0.055</v>
      </c>
      <c r="E16" s="114"/>
    </row>
    <row r="17" spans="2:4" ht="12.75">
      <c r="B17" s="114">
        <v>2011</v>
      </c>
      <c r="C17" s="502"/>
      <c r="D17" s="504">
        <v>0.061</v>
      </c>
    </row>
    <row r="19" spans="2:19" s="5" customFormat="1" ht="12.75">
      <c r="B19" s="6" t="s">
        <v>222</v>
      </c>
      <c r="R19" s="7"/>
      <c r="S19" s="7"/>
    </row>
    <row r="21" spans="2:12" ht="12.75">
      <c r="B21" s="505" t="s">
        <v>223</v>
      </c>
      <c r="C21" s="470">
        <v>2000</v>
      </c>
      <c r="D21" s="470">
        <v>2001</v>
      </c>
      <c r="E21" s="470">
        <v>2002</v>
      </c>
      <c r="F21" s="470">
        <v>2003</v>
      </c>
      <c r="G21" s="470">
        <v>2004</v>
      </c>
      <c r="H21" s="470">
        <v>2005</v>
      </c>
      <c r="I21" s="470">
        <v>2006</v>
      </c>
      <c r="J21" s="506">
        <v>2007</v>
      </c>
      <c r="K21" s="470">
        <v>2008</v>
      </c>
      <c r="L21" s="506">
        <v>2009</v>
      </c>
    </row>
    <row r="22" spans="2:12" ht="12.75">
      <c r="B22" s="470">
        <v>2001</v>
      </c>
      <c r="C22" s="508">
        <f>CPI2001</f>
        <v>0.025</v>
      </c>
      <c r="D22" s="509"/>
      <c r="E22" s="509"/>
      <c r="F22" s="509"/>
      <c r="G22" s="509"/>
      <c r="H22" s="509"/>
      <c r="I22" s="509"/>
      <c r="J22" s="509"/>
      <c r="K22" s="509"/>
      <c r="L22" s="509"/>
    </row>
    <row r="23" spans="2:12" ht="12.75">
      <c r="B23" s="470">
        <v>2002</v>
      </c>
      <c r="C23" s="508">
        <f>((1+CPIv2000n2001)*(1+CPI2002)-1)</f>
        <v>0.07317499999999977</v>
      </c>
      <c r="D23" s="508">
        <f>CPI2002</f>
        <v>0.047</v>
      </c>
      <c r="E23" s="509"/>
      <c r="F23" s="509"/>
      <c r="G23" s="509"/>
      <c r="H23" s="509"/>
      <c r="I23" s="509"/>
      <c r="J23" s="509"/>
      <c r="K23" s="509"/>
      <c r="L23" s="509"/>
    </row>
    <row r="24" spans="2:12" ht="12.75">
      <c r="B24" s="470">
        <v>2003</v>
      </c>
      <c r="C24" s="508">
        <f>((1+CPIv2000n2002)*(1+CPI2003)-1)</f>
        <v>0.10858977499999978</v>
      </c>
      <c r="D24" s="508">
        <f>((1+CPIv2001n2002)*(1+CPI2003)-1)</f>
        <v>0.08155099999999993</v>
      </c>
      <c r="E24" s="510">
        <f>CPI2003</f>
        <v>0.033</v>
      </c>
      <c r="F24" s="509"/>
      <c r="G24" s="509"/>
      <c r="H24" s="509"/>
      <c r="I24" s="509"/>
      <c r="J24" s="509"/>
      <c r="K24" s="509"/>
      <c r="L24" s="509"/>
    </row>
    <row r="25" spans="2:12" ht="12.75">
      <c r="B25" s="470">
        <v>2004</v>
      </c>
      <c r="C25" s="508">
        <f>((1+CPIv2000n2003)*(1+CPI2004)-1)</f>
        <v>0.13187016027499965</v>
      </c>
      <c r="D25" s="508">
        <f>((1+CPIv2001n2003)*(1+CPI2004)-1)</f>
        <v>0.10426357099999972</v>
      </c>
      <c r="E25" s="508">
        <f>((1+CPIv2002n2003)*(1+CPI2004)-1)</f>
        <v>0.05469299999999988</v>
      </c>
      <c r="F25" s="508">
        <f>CPI2004</f>
        <v>0.021</v>
      </c>
      <c r="G25" s="509"/>
      <c r="H25" s="509"/>
      <c r="I25" s="509"/>
      <c r="J25" s="509"/>
      <c r="K25" s="509"/>
      <c r="L25" s="509"/>
    </row>
    <row r="26" spans="2:12" ht="12.75">
      <c r="B26" s="470">
        <v>2005</v>
      </c>
      <c r="C26" s="508">
        <f>((1+CPIv2000n2004)*(1+CPI2005)-1)</f>
        <v>0.14432073203802442</v>
      </c>
      <c r="D26" s="508">
        <f>((1+CPIv2001n2004)*(1+CPI2005)-1)</f>
        <v>0.1164104702809996</v>
      </c>
      <c r="E26" s="508">
        <f>((1+CPIv2002n2004)*(1+CPI2005)-1)</f>
        <v>0.06629462299999966</v>
      </c>
      <c r="F26" s="508">
        <f>((1+CPIv2003n2004)*(1+CPI2005)-1)</f>
        <v>0.0322309999999999</v>
      </c>
      <c r="G26" s="508">
        <f>CPI2005</f>
        <v>0.011</v>
      </c>
      <c r="H26" s="509"/>
      <c r="I26" s="509"/>
      <c r="J26" s="509"/>
      <c r="K26" s="509"/>
      <c r="L26" s="509"/>
    </row>
    <row r="27" spans="2:12" ht="12.75">
      <c r="B27" s="470">
        <v>2006</v>
      </c>
      <c r="C27" s="508">
        <f>((1+CPIv2000n2005)*(1+CPI2006)-1)</f>
        <v>0.16491850521470885</v>
      </c>
      <c r="D27" s="508">
        <f>((1+CPIv2001n2005)*(1+CPI2006)-1)</f>
        <v>0.1365058587460577</v>
      </c>
      <c r="E27" s="508">
        <f>((1+CPIv2002n2005)*(1+CPI2006)-1)</f>
        <v>0.08548792621399959</v>
      </c>
      <c r="F27" s="508">
        <f>((1+CPIv2003n2005)*(1+CPI2006)-1)</f>
        <v>0.05081115799999991</v>
      </c>
      <c r="G27" s="508">
        <f>((1+CPIv2004n2005)*(1+CPI2006)-1)</f>
        <v>0.029197999999999835</v>
      </c>
      <c r="H27" s="508">
        <f>CPI2006</f>
        <v>0.018</v>
      </c>
      <c r="I27" s="509"/>
      <c r="J27" s="509"/>
      <c r="K27" s="509"/>
      <c r="L27" s="509"/>
    </row>
    <row r="28" spans="2:12" ht="12.75">
      <c r="B28" s="470">
        <v>2007</v>
      </c>
      <c r="C28" s="508">
        <f>((1+CPIv2000n2006)*(1+CPI2007)-1)</f>
        <v>0.1812273642877147</v>
      </c>
      <c r="D28" s="508">
        <f>((1+CPIv2001n2006)*(1+CPI2007)-1)</f>
        <v>0.15241694076850254</v>
      </c>
      <c r="E28" s="508">
        <f>((1+CPIv2002n2006)*(1+CPI2007)-1)</f>
        <v>0.10068475718099568</v>
      </c>
      <c r="F28" s="508">
        <f>((1+CPIv2003n2006)*(1+CPI2007)-1)</f>
        <v>0.06552251421199995</v>
      </c>
      <c r="G28" s="508">
        <f>((1+CPIv2004n2006)*(1+CPI2007)-1)</f>
        <v>0.04360677199999974</v>
      </c>
      <c r="H28" s="508">
        <f>((1+CPIv2005n2006)*(1+CPI2007)-1)</f>
        <v>0.03225199999999995</v>
      </c>
      <c r="I28" s="508">
        <f>CPI2007</f>
        <v>0.014</v>
      </c>
      <c r="J28" s="509"/>
      <c r="K28" s="509"/>
      <c r="L28" s="509"/>
    </row>
    <row r="29" spans="2:12" ht="12.75">
      <c r="B29" s="470">
        <v>2008</v>
      </c>
      <c r="C29" s="508">
        <f>((1+CPIv2000n2007)*(1+CPI2008)-1)</f>
        <v>0.19422086529487936</v>
      </c>
      <c r="D29" s="508">
        <f>((1+CPIv2001n2007)*(1+CPI2008)-1)</f>
        <v>0.16509352711695602</v>
      </c>
      <c r="E29" s="508">
        <f>((1+CPIv2002n2007)*(1+CPI2008)-1)</f>
        <v>0.11279228950998643</v>
      </c>
      <c r="F29" s="508">
        <f>((1+CPIv2003n2007)*(1+CPI2008)-1)</f>
        <v>0.07724326186833186</v>
      </c>
      <c r="G29" s="508">
        <f>((1+CPIv2004n2007)*(1+CPI2008)-1)</f>
        <v>0.05508644649199956</v>
      </c>
      <c r="H29" s="508">
        <f>((1+CPIv2005n2007)*(1+CPI2008)-1)</f>
        <v>0.04360677199999974</v>
      </c>
      <c r="I29" s="508">
        <f>((1+CPIv2006n2007)*(1+CPI2008)-1)</f>
        <v>0.0251539999999999</v>
      </c>
      <c r="J29" s="508">
        <f>CPI2008</f>
        <v>0.011</v>
      </c>
      <c r="K29" s="509"/>
      <c r="L29" s="509"/>
    </row>
    <row r="30" spans="2:12" ht="12.75">
      <c r="B30" s="470">
        <v>2009</v>
      </c>
      <c r="C30" s="508">
        <f>((1+CPIv2000n2008)*(1+CPI2009)-1)</f>
        <v>0.23243593298431553</v>
      </c>
      <c r="D30" s="508">
        <f>((1+CPIv2001n2008)*(1+CPI2009)-1)</f>
        <v>0.20237651998469874</v>
      </c>
      <c r="E30" s="508">
        <f>((1+CPIv2002n2008)*(1+CPI2009)-1)</f>
        <v>0.148401642774306</v>
      </c>
      <c r="F30" s="508">
        <f>((1+CPIv2003n2008)*(1+CPI2009)-1)</f>
        <v>0.11171504624811845</v>
      </c>
      <c r="G30" s="508">
        <f>((1+CPIv2004n2008)*(1+CPI2009)-1)</f>
        <v>0.08884921277974356</v>
      </c>
      <c r="H30" s="508">
        <f>((1+CPIv2005n2008)*(1+CPI2009)-1)</f>
        <v>0.07700218870399977</v>
      </c>
      <c r="I30" s="508">
        <f>((1+CPIv2006n2008)*(1+CPI2009)-1)</f>
        <v>0.05795892799999991</v>
      </c>
      <c r="J30" s="508">
        <f>((1+CPIv2007n2008)*(1+CPI2009)-1)</f>
        <v>0.043351999999999835</v>
      </c>
      <c r="K30" s="508">
        <f>CPI2009</f>
        <v>0.032</v>
      </c>
      <c r="L30" s="509"/>
    </row>
    <row r="31" spans="2:12" ht="12.75">
      <c r="B31" s="470">
        <v>2010</v>
      </c>
      <c r="C31" s="508">
        <f>((1+CPIv2000n2009)*(1+CPI2010)-1)</f>
        <v>0.23613324078326836</v>
      </c>
      <c r="D31" s="508">
        <f>((1+CPIv2001n2009)*(1+CPI2010)-1)</f>
        <v>0.20598364954465276</v>
      </c>
      <c r="E31" s="508">
        <f>((1+CPIv2002n2009)*(1+CPI2010)-1)</f>
        <v>0.1518468477026289</v>
      </c>
      <c r="F31" s="508">
        <f>((1+CPIv2003n2009)*(1+CPI2010)-1)</f>
        <v>0.11505019138686268</v>
      </c>
      <c r="G31" s="508">
        <f>((1+CPIv2004n2009)*(1+CPI2010)-1)</f>
        <v>0.09211576041808267</v>
      </c>
      <c r="H31" s="508">
        <f>((1+CPIv2005n2009)*(1+CPI2010)-1)</f>
        <v>0.08023319527011163</v>
      </c>
      <c r="I31" s="508">
        <f>((1+CPIv2006n2009)*(1+CPI2010)-1)</f>
        <v>0.06113280478399985</v>
      </c>
      <c r="J31" s="508">
        <f>((1+CPIv2007n2009)*(1+CPI2010)-1)</f>
        <v>0.04648205599999966</v>
      </c>
      <c r="K31" s="508">
        <f>((1+CPIv2008n2009)*(1+CPI2010)-1)</f>
        <v>0.035096000000000016</v>
      </c>
      <c r="L31" s="508">
        <f>CPI2010</f>
        <v>0.003</v>
      </c>
    </row>
    <row r="40" spans="6:9" ht="12.75">
      <c r="F40" s="507"/>
      <c r="G40" s="507"/>
      <c r="H40" s="507"/>
      <c r="I40" s="507"/>
    </row>
    <row r="41" spans="6:9" ht="12.75">
      <c r="F41" s="507"/>
      <c r="G41" s="507"/>
      <c r="H41" s="507"/>
      <c r="I41" s="507"/>
    </row>
    <row r="42" spans="6:9" ht="12.75">
      <c r="F42" s="507"/>
      <c r="G42" s="507"/>
      <c r="H42" s="507"/>
      <c r="I42" s="507"/>
    </row>
    <row r="43" spans="6:9" ht="12.75">
      <c r="F43" s="507"/>
      <c r="G43" s="507"/>
      <c r="H43" s="507"/>
      <c r="I43" s="507"/>
    </row>
    <row r="44" ht="12.75">
      <c r="F44" s="50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O17"/>
  <sheetViews>
    <sheetView showGridLines="0" zoomScale="85" zoomScaleNormal="85" workbookViewId="0" topLeftCell="A1">
      <pane xSplit="4" ySplit="2" topLeftCell="E3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E21" sqref="E21"/>
    </sheetView>
  </sheetViews>
  <sheetFormatPr defaultColWidth="9.140625" defaultRowHeight="12.75"/>
  <cols>
    <col min="1" max="1" width="4.421875" style="0" customWidth="1"/>
    <col min="2" max="2" width="43.140625" style="0" customWidth="1"/>
    <col min="3" max="3" width="15.57421875" style="0" customWidth="1"/>
    <col min="4" max="4" width="10.7109375" style="0" customWidth="1"/>
    <col min="5" max="13" width="13.421875" style="0" customWidth="1"/>
    <col min="15" max="15" width="14.28125" style="0" bestFit="1" customWidth="1"/>
  </cols>
  <sheetData>
    <row r="1" spans="1:13" ht="12.75">
      <c r="A1" s="1"/>
      <c r="B1" s="1"/>
      <c r="C1" s="1"/>
      <c r="D1" s="1"/>
      <c r="E1" s="1"/>
      <c r="F1" s="1"/>
      <c r="G1" s="540"/>
      <c r="H1" s="540"/>
      <c r="I1" s="540"/>
      <c r="J1" s="540"/>
      <c r="K1" s="540"/>
      <c r="L1" s="1"/>
      <c r="M1" s="1"/>
    </row>
    <row r="2" spans="1:13" ht="135.75" customHeight="1">
      <c r="A2" s="2"/>
      <c r="B2" s="3" t="s">
        <v>144</v>
      </c>
      <c r="C2" s="3"/>
      <c r="D2" s="3"/>
      <c r="E2" s="4" t="s">
        <v>146</v>
      </c>
      <c r="F2" s="4" t="s">
        <v>29</v>
      </c>
      <c r="G2" s="4" t="s">
        <v>455</v>
      </c>
      <c r="H2" s="4" t="s">
        <v>148</v>
      </c>
      <c r="I2" s="4" t="s">
        <v>150</v>
      </c>
      <c r="J2" s="4" t="s">
        <v>151</v>
      </c>
      <c r="K2" s="4" t="s">
        <v>147</v>
      </c>
      <c r="L2" s="4" t="s">
        <v>30</v>
      </c>
      <c r="M2" s="4" t="s">
        <v>153</v>
      </c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5"/>
      <c r="B4" s="6" t="s">
        <v>152</v>
      </c>
      <c r="C4" s="6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430" t="s">
        <v>572</v>
      </c>
      <c r="C6" s="430" t="s">
        <v>19</v>
      </c>
      <c r="D6" s="1"/>
      <c r="E6" s="8">
        <f>SUMPRODUCT(Wegingsfactor!E137:E210,Rekenvol!E137:E210)+SUMPRODUCT(Wegingsfactor!E213:E222,Rekenvol!E238:E247)</f>
        <v>5938.05251763653</v>
      </c>
      <c r="F6" s="8">
        <f>SUMPRODUCT(Wegingsfactor!F137:F210,Rekenvol!F137:F210)+SUMPRODUCT(Wegingsfactor!F213:F222,Rekenvol!F238:F247)</f>
        <v>13657.971847559116</v>
      </c>
      <c r="G6" s="8">
        <f>SUMPRODUCT(Wegingsfactor!G137:G210,Rekenvol!G137:G210)+SUMPRODUCT(Wegingsfactor!G213:G222,Rekenvol!G238:G247)</f>
        <v>8383.892196142646</v>
      </c>
      <c r="H6" s="8">
        <f>SUMPRODUCT(Wegingsfactor!H137:H210,Rekenvol!H137:H210)+SUMPRODUCT(Wegingsfactor!H213:H222,Rekenvol!H238:H247)</f>
        <v>10762.50079890325</v>
      </c>
      <c r="I6" s="8">
        <f>SUMPRODUCT(Wegingsfactor!I137:I210,Rekenvol!I137:I210)+SUMPRODUCT(Wegingsfactor!I213:I222,Rekenvol!I238:I247)</f>
        <v>18698.383800254418</v>
      </c>
      <c r="J6" s="8">
        <f>SUMPRODUCT(Wegingsfactor!J137:J210,Rekenvol!J137:J210)+SUMPRODUCT(Wegingsfactor!J213:J222,Rekenvol!J238:J247)</f>
        <v>5436.810900412312</v>
      </c>
      <c r="K6" s="8">
        <f>SUMPRODUCT(Wegingsfactor!K137:K210,Rekenvol!K137:K210)+SUMPRODUCT(Wegingsfactor!K213:K222,Rekenvol!K238:K247)</f>
        <v>21356.14118742282</v>
      </c>
      <c r="L6" s="8">
        <f>SUMPRODUCT(Wegingsfactor!L137:L210,Rekenvol!L137:L210)+SUMPRODUCT(Wegingsfactor!L213:L222,Rekenvol!L238:L247)</f>
        <v>8904.962533757587</v>
      </c>
      <c r="M6" s="8">
        <f>SUM(E6:L6)</f>
        <v>93138.71578208868</v>
      </c>
    </row>
    <row r="7" spans="1:13" ht="12.75">
      <c r="A7" s="1"/>
      <c r="B7" s="430" t="s">
        <v>571</v>
      </c>
      <c r="C7" s="430" t="s">
        <v>19</v>
      </c>
      <c r="D7" s="1"/>
      <c r="E7" s="8">
        <f>SUMPRODUCT(Wegingsfactor!E227:E251,Rekenvol!E251:E275)</f>
        <v>263011.12096737436</v>
      </c>
      <c r="F7" s="8">
        <f>SUMPRODUCT(Wegingsfactor!F227:F251,Rekenvol!F251:F275)</f>
        <v>455426.71121329546</v>
      </c>
      <c r="G7" s="8">
        <f>SUMPRODUCT(Wegingsfactor!G227:G251,Rekenvol!G251:G275)</f>
        <v>327790.6532529646</v>
      </c>
      <c r="H7" s="8">
        <f>SUMPRODUCT(Wegingsfactor!H227:H251,Rekenvol!H251:H275)</f>
        <v>425943.81095827627</v>
      </c>
      <c r="I7" s="8">
        <f>SUMPRODUCT(Wegingsfactor!I227:I251,Rekenvol!I251:I275)</f>
        <v>661968.2346508674</v>
      </c>
      <c r="J7" s="8">
        <f>SUMPRODUCT(Wegingsfactor!J227:J251,Rekenvol!J251:J275)</f>
        <v>759004.0775471157</v>
      </c>
      <c r="K7" s="8">
        <f>SUMPRODUCT(Wegingsfactor!K227:K251,Rekenvol!K251:K275)</f>
        <v>514574.8531407469</v>
      </c>
      <c r="L7" s="8">
        <f>SUMPRODUCT(Wegingsfactor!L227:L251,Rekenvol!L251:L275)</f>
        <v>328408.5686689508</v>
      </c>
      <c r="M7" s="8">
        <f>SUM(E7:L7)</f>
        <v>3736128.030399591</v>
      </c>
    </row>
    <row r="8" spans="1:15" ht="12.75">
      <c r="A8" s="1"/>
      <c r="B8" s="430" t="s">
        <v>570</v>
      </c>
      <c r="C8" s="430" t="s">
        <v>19</v>
      </c>
      <c r="D8" s="1"/>
      <c r="E8" s="8">
        <f>SUM(E6:E7)</f>
        <v>268949.17348501086</v>
      </c>
      <c r="F8" s="8">
        <f aca="true" t="shared" si="0" ref="F8:M8">SUM(F6:F7)</f>
        <v>469084.68306085456</v>
      </c>
      <c r="G8" s="8">
        <f t="shared" si="0"/>
        <v>336174.54544910725</v>
      </c>
      <c r="H8" s="8">
        <f t="shared" si="0"/>
        <v>436706.3117571795</v>
      </c>
      <c r="I8" s="8">
        <f t="shared" si="0"/>
        <v>680666.6184511218</v>
      </c>
      <c r="J8" s="8">
        <f t="shared" si="0"/>
        <v>764440.888447528</v>
      </c>
      <c r="K8" s="8">
        <f t="shared" si="0"/>
        <v>535930.9943281697</v>
      </c>
      <c r="L8" s="8">
        <f t="shared" si="0"/>
        <v>337313.53120270843</v>
      </c>
      <c r="M8" s="8">
        <f t="shared" si="0"/>
        <v>3829266.74618168</v>
      </c>
      <c r="O8" s="52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521"/>
    </row>
    <row r="10" spans="1:15" ht="12.75">
      <c r="A10" s="5"/>
      <c r="B10" s="6" t="s">
        <v>154</v>
      </c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O10" s="52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521"/>
    </row>
    <row r="12" spans="1:15" ht="12.75">
      <c r="A12" s="1"/>
      <c r="B12" s="1" t="s">
        <v>154</v>
      </c>
      <c r="C12" s="430" t="s">
        <v>19</v>
      </c>
      <c r="D12" s="1"/>
      <c r="E12" s="8">
        <f>Eindinkomsten!E26</f>
        <v>2031092.2454111953</v>
      </c>
      <c r="F12" s="8">
        <f>Eindinkomsten!F26</f>
        <v>2346527.901492387</v>
      </c>
      <c r="G12" s="8">
        <f>Eindinkomsten!G26</f>
        <v>2485013.302481516</v>
      </c>
      <c r="H12" s="8">
        <f>Eindinkomsten!H26</f>
        <v>2363418.5727157327</v>
      </c>
      <c r="I12" s="8">
        <f>Eindinkomsten!I26</f>
        <v>2533354.9166440363</v>
      </c>
      <c r="J12" s="8">
        <f>Eindinkomsten!J26</f>
        <v>3517699.6172247594</v>
      </c>
      <c r="K12" s="8">
        <f>Eindinkomsten!K26</f>
        <v>2548088.408331254</v>
      </c>
      <c r="L12" s="8">
        <f>Eindinkomsten!L26</f>
        <v>1781346.212743342</v>
      </c>
      <c r="M12" s="8">
        <f>SUM(E12:L12)</f>
        <v>19606541.17704422</v>
      </c>
      <c r="O12" s="52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5"/>
      <c r="B14" s="6" t="s">
        <v>155</v>
      </c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 t="s">
        <v>145</v>
      </c>
      <c r="C16" s="1"/>
      <c r="D16" s="1"/>
      <c r="E16" s="9">
        <f>100*(1-(E12/E8)^(1/3))</f>
        <v>-96.19434168916405</v>
      </c>
      <c r="F16" s="9">
        <f aca="true" t="shared" si="1" ref="F16:M16">100*(1-(F12/F8)^(1/3))</f>
        <v>-71.02443201707938</v>
      </c>
      <c r="G16" s="9">
        <f t="shared" si="1"/>
        <v>-94.7995565307356</v>
      </c>
      <c r="H16" s="9">
        <f t="shared" si="1"/>
        <v>-75.57003339217158</v>
      </c>
      <c r="I16" s="9">
        <f t="shared" si="1"/>
        <v>-54.97222262893213</v>
      </c>
      <c r="J16" s="9">
        <f t="shared" si="1"/>
        <v>-66.33039325111024</v>
      </c>
      <c r="K16" s="9">
        <f t="shared" si="1"/>
        <v>-68.15193630240006</v>
      </c>
      <c r="L16" s="9">
        <f t="shared" si="1"/>
        <v>-74.1425330010938</v>
      </c>
      <c r="M16" s="9">
        <f t="shared" si="1"/>
        <v>-72.35681303695041</v>
      </c>
    </row>
    <row r="17" spans="1:13" ht="18">
      <c r="A17" s="10"/>
      <c r="B17" s="10" t="s">
        <v>144</v>
      </c>
      <c r="C17" s="10"/>
      <c r="D17" s="10"/>
      <c r="E17" s="11">
        <f>IF(E16&gt;0,ROUNDDOWN(E16,1),ROUNDUP(E16,1))</f>
        <v>-96.19999999999999</v>
      </c>
      <c r="F17" s="11">
        <f aca="true" t="shared" si="2" ref="F17:L17">IF(F16&gt;0,ROUNDDOWN(F16,1),ROUNDUP(F16,1))</f>
        <v>-71.1</v>
      </c>
      <c r="G17" s="11">
        <f t="shared" si="2"/>
        <v>-94.8</v>
      </c>
      <c r="H17" s="11">
        <f t="shared" si="2"/>
        <v>-75.6</v>
      </c>
      <c r="I17" s="11">
        <f t="shared" si="2"/>
        <v>-55</v>
      </c>
      <c r="J17" s="11">
        <f t="shared" si="2"/>
        <v>-66.39999999999999</v>
      </c>
      <c r="K17" s="11">
        <f t="shared" si="2"/>
        <v>-68.19999999999999</v>
      </c>
      <c r="L17" s="11">
        <f t="shared" si="2"/>
        <v>-74.19999999999999</v>
      </c>
      <c r="M17" s="11">
        <f>IF(M16&gt;0,ROUNDDOWN(M16,1),ROUNDUP(M16,1))</f>
        <v>-72.39999999999999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B2:M28"/>
  <sheetViews>
    <sheetView showGridLines="0" zoomScale="85" zoomScaleNormal="85" workbookViewId="0" topLeftCell="A1">
      <pane xSplit="4" ySplit="2" topLeftCell="E3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E18" sqref="E18"/>
    </sheetView>
  </sheetViews>
  <sheetFormatPr defaultColWidth="9.140625" defaultRowHeight="12.75"/>
  <cols>
    <col min="1" max="1" width="2.7109375" style="1" customWidth="1"/>
    <col min="2" max="2" width="41.00390625" style="1" customWidth="1"/>
    <col min="3" max="3" width="16.57421875" style="1" customWidth="1"/>
    <col min="4" max="4" width="9.421875" style="1" customWidth="1"/>
    <col min="5" max="12" width="12.421875" style="1" customWidth="1"/>
    <col min="13" max="13" width="12.28125" style="1" customWidth="1"/>
    <col min="14" max="16384" width="9.140625" style="1" customWidth="1"/>
  </cols>
  <sheetData>
    <row r="2" spans="2:13" s="2" customFormat="1" ht="102.75" customHeight="1">
      <c r="B2" s="3" t="s">
        <v>156</v>
      </c>
      <c r="C2" s="3"/>
      <c r="D2" s="3"/>
      <c r="E2" s="4" t="s">
        <v>146</v>
      </c>
      <c r="F2" s="4" t="s">
        <v>29</v>
      </c>
      <c r="G2" s="4" t="s">
        <v>455</v>
      </c>
      <c r="H2" s="4" t="s">
        <v>148</v>
      </c>
      <c r="I2" s="4" t="s">
        <v>150</v>
      </c>
      <c r="J2" s="4" t="s">
        <v>151</v>
      </c>
      <c r="K2" s="4" t="s">
        <v>147</v>
      </c>
      <c r="L2" s="4" t="s">
        <v>30</v>
      </c>
      <c r="M2" s="4" t="s">
        <v>153</v>
      </c>
    </row>
    <row r="5" spans="2:3" s="5" customFormat="1" ht="12.75">
      <c r="B5" s="6" t="s">
        <v>157</v>
      </c>
      <c r="C5" s="6"/>
    </row>
    <row r="7" spans="2:13" ht="12.75">
      <c r="B7" s="1" t="s">
        <v>158</v>
      </c>
      <c r="C7" s="1" t="s">
        <v>21</v>
      </c>
      <c r="D7" s="492">
        <f>Productiviteit!D41</f>
        <v>3.7699695951620518</v>
      </c>
      <c r="E7" s="18"/>
      <c r="F7" s="18"/>
      <c r="G7" s="18"/>
      <c r="H7" s="18"/>
      <c r="I7" s="18"/>
      <c r="J7" s="18"/>
      <c r="K7" s="18"/>
      <c r="L7" s="18"/>
      <c r="M7" s="18"/>
    </row>
    <row r="8" spans="4:13" ht="12.75">
      <c r="D8" s="18"/>
      <c r="E8" s="511"/>
      <c r="F8" s="511"/>
      <c r="G8" s="511"/>
      <c r="H8" s="511"/>
      <c r="I8" s="511"/>
      <c r="J8" s="511"/>
      <c r="K8" s="511"/>
      <c r="L8" s="511"/>
      <c r="M8" s="511"/>
    </row>
    <row r="9" spans="2:13" ht="12.75">
      <c r="B9" s="1" t="s">
        <v>159</v>
      </c>
      <c r="C9" s="430" t="s">
        <v>20</v>
      </c>
      <c r="D9" s="18"/>
      <c r="E9" s="436">
        <f>1000*Kosten!E134</f>
        <v>269916.38999999996</v>
      </c>
      <c r="F9" s="436">
        <f>1000*Kosten!F134</f>
        <v>486493.04999999993</v>
      </c>
      <c r="G9" s="436">
        <f>1000*Kosten!G134</f>
        <v>349693</v>
      </c>
      <c r="H9" s="436">
        <f>1000*Kosten!H134</f>
        <v>456565</v>
      </c>
      <c r="I9" s="436">
        <f>1000*Kosten!I134</f>
        <v>689051.5499999999</v>
      </c>
      <c r="J9" s="436">
        <f>1000*Kosten!J134</f>
        <v>775123.1900000001</v>
      </c>
      <c r="K9" s="436">
        <f>1000*Kosten!K134</f>
        <v>553477.3700000002</v>
      </c>
      <c r="L9" s="436">
        <f>1000*Kosten!L134</f>
        <v>335102.56</v>
      </c>
      <c r="M9" s="511"/>
    </row>
    <row r="10" spans="2:13" ht="12.75">
      <c r="B10" s="1" t="s">
        <v>160</v>
      </c>
      <c r="C10" s="430" t="s">
        <v>20</v>
      </c>
      <c r="D10" s="18"/>
      <c r="E10" s="436">
        <f>1000*ORV!E100</f>
        <v>1359134.2672321203</v>
      </c>
      <c r="F10" s="436">
        <f>1000*ORV!F100</f>
        <v>290577</v>
      </c>
      <c r="G10" s="436">
        <f>1000*ORV!G100</f>
        <v>2000</v>
      </c>
      <c r="H10" s="436">
        <f>1000*ORV!H100</f>
        <v>2000</v>
      </c>
      <c r="I10" s="436">
        <f>1000*ORV!I100</f>
        <v>985219.8692441719</v>
      </c>
      <c r="J10" s="436">
        <f>1000*ORV!J100</f>
        <v>979244.2073445424</v>
      </c>
      <c r="K10" s="436">
        <f>1000*ORV!K100</f>
        <v>2000</v>
      </c>
      <c r="L10" s="436">
        <f>1000*ORV!L100</f>
        <v>2000</v>
      </c>
      <c r="M10" s="511"/>
    </row>
    <row r="11" spans="2:13" ht="12.75">
      <c r="B11" s="1" t="s">
        <v>161</v>
      </c>
      <c r="C11" s="430" t="s">
        <v>20</v>
      </c>
      <c r="D11" s="18"/>
      <c r="E11" s="436">
        <f>E9-E10</f>
        <v>-1089217.8772321204</v>
      </c>
      <c r="F11" s="436">
        <f aca="true" t="shared" si="0" ref="F11:L11">F9-F10</f>
        <v>195916.04999999993</v>
      </c>
      <c r="G11" s="436">
        <f t="shared" si="0"/>
        <v>347693</v>
      </c>
      <c r="H11" s="436">
        <f t="shared" si="0"/>
        <v>454565</v>
      </c>
      <c r="I11" s="436">
        <f t="shared" si="0"/>
        <v>-296168.31924417196</v>
      </c>
      <c r="J11" s="436">
        <f t="shared" si="0"/>
        <v>-204121.0173445423</v>
      </c>
      <c r="K11" s="436">
        <f t="shared" si="0"/>
        <v>551477.3700000002</v>
      </c>
      <c r="L11" s="436">
        <f t="shared" si="0"/>
        <v>333102.56</v>
      </c>
      <c r="M11" s="436">
        <f>SUM(E11:L11)</f>
        <v>293246.7661791655</v>
      </c>
    </row>
    <row r="12" spans="2:13" ht="12.75">
      <c r="B12" s="1" t="s">
        <v>157</v>
      </c>
      <c r="C12" s="430" t="s">
        <v>19</v>
      </c>
      <c r="D12" s="18"/>
      <c r="E12" s="511"/>
      <c r="F12" s="511"/>
      <c r="G12" s="511"/>
      <c r="H12" s="511"/>
      <c r="I12" s="511"/>
      <c r="J12" s="511"/>
      <c r="K12" s="511"/>
      <c r="L12" s="511"/>
      <c r="M12" s="437">
        <f>M11*(1-D7+CPI2010)</f>
        <v>-811404.8858973464</v>
      </c>
    </row>
    <row r="13" spans="2:4" ht="12.75">
      <c r="B13" s="1" t="s">
        <v>585</v>
      </c>
      <c r="D13" s="277">
        <f>M12/SO!M47</f>
        <v>-0.21188867879556955</v>
      </c>
    </row>
    <row r="15" spans="2:3" s="5" customFormat="1" ht="12.75">
      <c r="B15" s="6" t="s">
        <v>154</v>
      </c>
      <c r="C15" s="6"/>
    </row>
    <row r="17" ht="12.75">
      <c r="B17" s="14" t="s">
        <v>454</v>
      </c>
    </row>
    <row r="18" spans="2:13" ht="12.75">
      <c r="B18" s="1" t="s">
        <v>9</v>
      </c>
      <c r="C18" s="430"/>
      <c r="E18" s="513">
        <f>ORV!E116*(1-$D$7+CPI2010)</f>
        <v>-0.006133097811050479</v>
      </c>
      <c r="F18" s="513">
        <f>ORV!F116*(1-$D$7+CPI2010)</f>
        <v>-0.006133097811050479</v>
      </c>
      <c r="G18" s="513">
        <f>ORV!G116*(1-$D$7+CPI2010)</f>
        <v>-0.006133097811050479</v>
      </c>
      <c r="H18" s="513">
        <f>ORV!H116*(1-$D$7+CPI2010)</f>
        <v>-0.006133097811050479</v>
      </c>
      <c r="I18" s="513">
        <f>ORV!I116*(1-$D$7+CPI2010)</f>
        <v>-0.006133097811050479</v>
      </c>
      <c r="J18" s="513">
        <f>ORV!J116*(1-$D$7+CPI2010)</f>
        <v>-0.006133097811050479</v>
      </c>
      <c r="K18" s="513">
        <f>ORV!K116*(1-$D$7+CPI2010)</f>
        <v>-0.006133097811050479</v>
      </c>
      <c r="L18" s="513">
        <f>ORV!L116*(1-$D$7+CPI2010)</f>
        <v>-0.006133097811050479</v>
      </c>
      <c r="M18" s="514">
        <f>SUMPRODUCT(E18:L18,SO!E38:L38)/SO!M38</f>
        <v>-0.006133097811050479</v>
      </c>
    </row>
    <row r="19" spans="2:4" ht="12.75">
      <c r="B19" s="1" t="s">
        <v>10</v>
      </c>
      <c r="D19" s="515">
        <f>D13-M18</f>
        <v>-0.20575558098451907</v>
      </c>
    </row>
    <row r="21" ht="12.75">
      <c r="B21" s="14" t="s">
        <v>6</v>
      </c>
    </row>
    <row r="22" spans="2:13" ht="12.75">
      <c r="B22" s="1" t="s">
        <v>9</v>
      </c>
      <c r="C22" s="430" t="s">
        <v>19</v>
      </c>
      <c r="E22" s="436">
        <f>E18*SO!E47*(1-$D$7)^3</f>
        <v>19331.74022403591</v>
      </c>
      <c r="F22" s="436">
        <f>F18*SO!F47*(1-$D$7)^3</f>
        <v>67802.13076098957</v>
      </c>
      <c r="G22" s="436">
        <f>G18*SO!G47*(1-$D$7)^3</f>
        <v>71870.41204010828</v>
      </c>
      <c r="H22" s="436">
        <f>H18*SO!H47*(1-$D$7)^3</f>
        <v>68350.86406236427</v>
      </c>
      <c r="I22" s="436">
        <f>I18*SO!I47*(1-$D$7)^3</f>
        <v>73209.82108302499</v>
      </c>
      <c r="J22" s="436">
        <f>J18*SO!J47*(1-$D$7)^3</f>
        <v>73390.31988242836</v>
      </c>
      <c r="K22" s="436">
        <f>K18*SO!K47*(1-$D$7)^3</f>
        <v>73696.11502630718</v>
      </c>
      <c r="L22" s="436">
        <f>L18*SO!L47*(1-$D$7)^3</f>
        <v>51502.83453519965</v>
      </c>
      <c r="M22" s="517">
        <f>SUM(E22:L22)</f>
        <v>499154.23761445825</v>
      </c>
    </row>
    <row r="23" spans="2:13" ht="12.75">
      <c r="B23" s="1" t="s">
        <v>10</v>
      </c>
      <c r="C23" s="430" t="s">
        <v>19</v>
      </c>
      <c r="E23" s="436">
        <f>$D$19*SO!E47*(1-$D$7)^3</f>
        <v>648548.8351533429</v>
      </c>
      <c r="F23" s="436">
        <f>$D$19*SO!F47*(1-$D$7)^3</f>
        <v>2274652.5877313972</v>
      </c>
      <c r="G23" s="436">
        <f>$D$19*SO!G47*(1-$D$7)^3</f>
        <v>2411136.8904414074</v>
      </c>
      <c r="H23" s="436">
        <f>$D$19*SO!H47*(1-$D$7)^3</f>
        <v>2293061.7086533685</v>
      </c>
      <c r="I23" s="436">
        <f>$D$19*SO!I47*(1-$D$7)^3</f>
        <v>2456071.912561011</v>
      </c>
      <c r="J23" s="436">
        <f>$D$19*SO!J47*(1-$D$7)^3</f>
        <v>2462127.3573757554</v>
      </c>
      <c r="K23" s="436">
        <f>$D$19*SO!K47*(1-$D$7)^3</f>
        <v>2472386.2933049467</v>
      </c>
      <c r="L23" s="436">
        <f>$D$19*SO!L47*(1-$D$7)^3</f>
        <v>1727837.3782081422</v>
      </c>
      <c r="M23" s="517">
        <f>SUM(E23:L23)</f>
        <v>16745822.96342937</v>
      </c>
    </row>
    <row r="24" spans="2:13" ht="12.75">
      <c r="B24" s="1" t="s">
        <v>7</v>
      </c>
      <c r="C24" s="430" t="s">
        <v>19</v>
      </c>
      <c r="E24" s="436">
        <f>1000*ORV!E101</f>
        <v>1363211.6700338165</v>
      </c>
      <c r="F24" s="436">
        <f>1000*ORV!F101</f>
        <v>4073.183</v>
      </c>
      <c r="G24" s="436">
        <f>1000*ORV!G101</f>
        <v>2005.9999999999998</v>
      </c>
      <c r="H24" s="436">
        <f>1000*ORV!H101</f>
        <v>2005.9999999999998</v>
      </c>
      <c r="I24" s="436">
        <f>1000*ORV!I101</f>
        <v>4073.183</v>
      </c>
      <c r="J24" s="436">
        <f>1000*ORV!J101</f>
        <v>982181.9399665759</v>
      </c>
      <c r="K24" s="436">
        <f>1000*ORV!K101</f>
        <v>2005.9999999999998</v>
      </c>
      <c r="L24" s="436">
        <f>1000*ORV!L101</f>
        <v>2005.9999999999998</v>
      </c>
      <c r="M24" s="517">
        <f>SUM(E24:L24)</f>
        <v>2361563.9760003923</v>
      </c>
    </row>
    <row r="25" spans="5:13" ht="12.75"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2.75">
      <c r="B26" s="14" t="s">
        <v>154</v>
      </c>
      <c r="C26" s="430" t="s">
        <v>19</v>
      </c>
      <c r="E26" s="516">
        <f>SUM(E22:E24)</f>
        <v>2031092.2454111953</v>
      </c>
      <c r="F26" s="516">
        <f aca="true" t="shared" si="1" ref="F26:L26">SUM(F22:F24)</f>
        <v>2346527.901492387</v>
      </c>
      <c r="G26" s="516">
        <f t="shared" si="1"/>
        <v>2485013.302481516</v>
      </c>
      <c r="H26" s="516">
        <f t="shared" si="1"/>
        <v>2363418.5727157327</v>
      </c>
      <c r="I26" s="516">
        <f t="shared" si="1"/>
        <v>2533354.9166440363</v>
      </c>
      <c r="J26" s="516">
        <f t="shared" si="1"/>
        <v>3517699.6172247594</v>
      </c>
      <c r="K26" s="516">
        <f t="shared" si="1"/>
        <v>2548088.408331254</v>
      </c>
      <c r="L26" s="516">
        <f t="shared" si="1"/>
        <v>1781346.212743342</v>
      </c>
      <c r="M26" s="516">
        <f>SUM(E26:L26)</f>
        <v>19606541.17704422</v>
      </c>
    </row>
    <row r="28" spans="5:12" ht="12.75">
      <c r="E28" s="15"/>
      <c r="F28" s="15"/>
      <c r="G28" s="15"/>
      <c r="H28" s="15"/>
      <c r="I28" s="15"/>
      <c r="J28" s="15"/>
      <c r="K28" s="15"/>
      <c r="L28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B2:M51"/>
  <sheetViews>
    <sheetView showGridLines="0" zoomScale="85" zoomScaleNormal="85" workbookViewId="0" topLeftCell="A1">
      <pane xSplit="4" ySplit="2" topLeftCell="E3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B43" sqref="B43"/>
    </sheetView>
  </sheetViews>
  <sheetFormatPr defaultColWidth="9.140625" defaultRowHeight="12.75"/>
  <cols>
    <col min="1" max="1" width="2.421875" style="1" customWidth="1"/>
    <col min="2" max="2" width="62.00390625" style="1" customWidth="1"/>
    <col min="3" max="3" width="14.8515625" style="1" customWidth="1"/>
    <col min="4" max="4" width="17.140625" style="1" customWidth="1"/>
    <col min="5" max="6" width="11.57421875" style="1" bestFit="1" customWidth="1"/>
    <col min="7" max="7" width="12.57421875" style="1" bestFit="1" customWidth="1"/>
    <col min="8" max="8" width="12.140625" style="1" bestFit="1" customWidth="1"/>
    <col min="9" max="10" width="11.57421875" style="1" bestFit="1" customWidth="1"/>
    <col min="11" max="11" width="12.57421875" style="1" bestFit="1" customWidth="1"/>
    <col min="12" max="12" width="11.57421875" style="1" bestFit="1" customWidth="1"/>
    <col min="13" max="13" width="14.140625" style="1" bestFit="1" customWidth="1"/>
    <col min="14" max="16384" width="9.140625" style="1" customWidth="1"/>
  </cols>
  <sheetData>
    <row r="2" spans="2:13" s="2" customFormat="1" ht="102" customHeight="1">
      <c r="B2" s="16" t="s">
        <v>162</v>
      </c>
      <c r="C2" s="16"/>
      <c r="D2" s="3"/>
      <c r="E2" s="4" t="s">
        <v>146</v>
      </c>
      <c r="F2" s="4" t="s">
        <v>29</v>
      </c>
      <c r="G2" s="4" t="s">
        <v>455</v>
      </c>
      <c r="H2" s="4" t="s">
        <v>148</v>
      </c>
      <c r="I2" s="4" t="s">
        <v>150</v>
      </c>
      <c r="J2" s="4" t="s">
        <v>151</v>
      </c>
      <c r="K2" s="4" t="s">
        <v>147</v>
      </c>
      <c r="L2" s="4" t="s">
        <v>30</v>
      </c>
      <c r="M2" s="4" t="s">
        <v>153</v>
      </c>
    </row>
    <row r="5" spans="2:3" ht="12.75">
      <c r="B5" s="14" t="s">
        <v>163</v>
      </c>
      <c r="C5" s="14"/>
    </row>
    <row r="6" spans="2:13" ht="12.75">
      <c r="B6" s="1" t="s">
        <v>164</v>
      </c>
      <c r="C6" s="1" t="s">
        <v>42</v>
      </c>
      <c r="E6" s="17">
        <f>Kosten!E29*1000</f>
        <v>13718831.075788504</v>
      </c>
      <c r="F6" s="17">
        <f>Kosten!F29*1000</f>
        <v>51733706.073735364</v>
      </c>
      <c r="G6" s="17">
        <f>Kosten!G29*1000</f>
        <v>28287569.268170558</v>
      </c>
      <c r="H6" s="17">
        <f>Kosten!H29*1000</f>
        <v>796434710.2136636</v>
      </c>
      <c r="I6" s="17">
        <f>Kosten!I29*1000</f>
        <v>746288482.0425483</v>
      </c>
      <c r="J6" s="17">
        <f>Kosten!J29*1000</f>
        <v>10372126.562407965</v>
      </c>
      <c r="K6" s="17">
        <f>Kosten!K29*1000</f>
        <v>558616174.0501337</v>
      </c>
      <c r="L6" s="17">
        <f>Kosten!L29*1000</f>
        <v>35244634.921823144</v>
      </c>
      <c r="M6" s="17">
        <f>SUM(E6:L6)</f>
        <v>2240696234.208271</v>
      </c>
    </row>
    <row r="7" spans="2:13" ht="12.75">
      <c r="B7" s="1" t="s">
        <v>88</v>
      </c>
      <c r="C7" s="1" t="s">
        <v>42</v>
      </c>
      <c r="E7" s="17">
        <f>ORV!E20*1000</f>
        <v>1410403.3769923535</v>
      </c>
      <c r="F7" s="17">
        <f>ORV!F20*1000</f>
        <v>460239</v>
      </c>
      <c r="G7" s="17">
        <f>ORV!G20*1000</f>
        <v>0</v>
      </c>
      <c r="H7" s="17">
        <f>ORV!H20*1000</f>
        <v>1772800</v>
      </c>
      <c r="I7" s="17">
        <f>ORV!I20*1000</f>
        <v>12580818</v>
      </c>
      <c r="J7" s="17">
        <f>ORV!J20*1000</f>
        <v>1032834.5725833192</v>
      </c>
      <c r="K7" s="17">
        <f>ORV!K20*1000</f>
        <v>14260108</v>
      </c>
      <c r="L7" s="17">
        <f>ORV!L20*1000</f>
        <v>0</v>
      </c>
      <c r="M7" s="17">
        <f>SUM(E7:L7)</f>
        <v>31517202.94957567</v>
      </c>
    </row>
    <row r="8" spans="2:13" ht="12.75">
      <c r="B8" s="1" t="s">
        <v>22</v>
      </c>
      <c r="C8" s="1" t="s">
        <v>42</v>
      </c>
      <c r="E8" s="17">
        <f>Kosten!E9*1000</f>
        <v>3085000</v>
      </c>
      <c r="F8" s="17">
        <f>Kosten!F9*1000</f>
        <v>4967825.399999999</v>
      </c>
      <c r="G8" s="17">
        <f>Kosten!G9*1000</f>
        <v>6895106.48</v>
      </c>
      <c r="H8" s="17">
        <f>Kosten!H9*1000</f>
        <v>48162000</v>
      </c>
      <c r="I8" s="17">
        <f>Kosten!I9*1000</f>
        <v>43166399</v>
      </c>
      <c r="J8" s="17">
        <f>Kosten!J9*1000</f>
        <v>2018972</v>
      </c>
      <c r="K8" s="17">
        <f>Kosten!K9*1000</f>
        <v>65280029</v>
      </c>
      <c r="L8" s="17">
        <f>Kosten!L9*1000</f>
        <v>8483206.18</v>
      </c>
      <c r="M8" s="17">
        <f>SUM(E8:L8)</f>
        <v>182058538.06</v>
      </c>
    </row>
    <row r="9" spans="2:13" ht="12.75">
      <c r="B9" s="14" t="s">
        <v>130</v>
      </c>
      <c r="C9" s="1" t="s">
        <v>42</v>
      </c>
      <c r="E9" s="17">
        <f>E6-E7-E8</f>
        <v>9223427.69879615</v>
      </c>
      <c r="F9" s="17">
        <f aca="true" t="shared" si="0" ref="F9:L9">F6-F7-F8</f>
        <v>46305641.673735365</v>
      </c>
      <c r="G9" s="17">
        <f t="shared" si="0"/>
        <v>21392462.788170557</v>
      </c>
      <c r="H9" s="17">
        <f t="shared" si="0"/>
        <v>746499910.2136636</v>
      </c>
      <c r="I9" s="17">
        <f t="shared" si="0"/>
        <v>690541265.0425483</v>
      </c>
      <c r="J9" s="17">
        <f t="shared" si="0"/>
        <v>7320319.989824645</v>
      </c>
      <c r="K9" s="17">
        <f t="shared" si="0"/>
        <v>479076037.0501337</v>
      </c>
      <c r="L9" s="17">
        <f t="shared" si="0"/>
        <v>26761428.741823144</v>
      </c>
      <c r="M9" s="17">
        <f>SUM(E9:L9)</f>
        <v>2027120493.1986954</v>
      </c>
    </row>
    <row r="10" spans="2:13" s="120" customFormat="1" ht="12.75">
      <c r="B10" s="121"/>
      <c r="C10" s="121"/>
      <c r="E10" s="74"/>
      <c r="F10" s="74"/>
      <c r="G10" s="74"/>
      <c r="H10" s="74"/>
      <c r="I10" s="74"/>
      <c r="J10" s="74"/>
      <c r="K10" s="74"/>
      <c r="L10" s="74"/>
      <c r="M10" s="74"/>
    </row>
    <row r="11" spans="2:13" ht="12.75">
      <c r="B11" s="1" t="s">
        <v>167</v>
      </c>
      <c r="C11" s="1" t="s">
        <v>43</v>
      </c>
      <c r="E11" s="17">
        <f>Kosten!E55*1000</f>
        <v>14196742.106891073</v>
      </c>
      <c r="F11" s="17">
        <f>Kosten!F55*1000</f>
        <v>62250007.49853192</v>
      </c>
      <c r="G11" s="17">
        <f>Kosten!G55*1000</f>
        <v>30028113.976682253</v>
      </c>
      <c r="H11" s="17">
        <f>Kosten!H55*1000</f>
        <v>807383019.719249</v>
      </c>
      <c r="I11" s="17">
        <f>Kosten!I55*1000</f>
        <v>760487032.2446579</v>
      </c>
      <c r="J11" s="17">
        <f>Kosten!J55*1000</f>
        <v>10332228.37295719</v>
      </c>
      <c r="K11" s="17">
        <f>Kosten!K55*1000</f>
        <v>585761031.2596093</v>
      </c>
      <c r="L11" s="17">
        <f>Kosten!L55*1000</f>
        <v>37576760.80888358</v>
      </c>
      <c r="M11" s="17">
        <f>SUM(E11:L11)</f>
        <v>2308014935.9874625</v>
      </c>
    </row>
    <row r="12" spans="2:13" ht="12.75">
      <c r="B12" s="1" t="s">
        <v>89</v>
      </c>
      <c r="C12" s="1" t="s">
        <v>43</v>
      </c>
      <c r="E12" s="17">
        <f>ORV!E28*1000</f>
        <v>1386338.1482366263</v>
      </c>
      <c r="F12" s="17">
        <f>ORV!F28*1000</f>
        <v>451936</v>
      </c>
      <c r="G12" s="17">
        <f>ORV!G28*1000</f>
        <v>0</v>
      </c>
      <c r="H12" s="17">
        <f>ORV!H28*1000</f>
        <v>1673000</v>
      </c>
      <c r="I12" s="17">
        <f>ORV!I28*1000</f>
        <v>14310348.46000618</v>
      </c>
      <c r="J12" s="17">
        <f>ORV!J28*1000</f>
        <v>1084311.0814566268</v>
      </c>
      <c r="K12" s="17">
        <f>ORV!K28*1000</f>
        <v>14323928</v>
      </c>
      <c r="L12" s="17">
        <f>ORV!L28*1000</f>
        <v>25000</v>
      </c>
      <c r="M12" s="17">
        <f>SUM(E12:L12)</f>
        <v>33254861.689699434</v>
      </c>
    </row>
    <row r="13" spans="2:13" ht="12.75">
      <c r="B13" s="1" t="s">
        <v>23</v>
      </c>
      <c r="C13" s="1" t="s">
        <v>43</v>
      </c>
      <c r="E13" s="17">
        <f>Kosten!E35*1000</f>
        <v>3193000</v>
      </c>
      <c r="F13" s="17">
        <f>Kosten!F35*1000</f>
        <v>4974505.2</v>
      </c>
      <c r="G13" s="17">
        <f>Kosten!G35*1000</f>
        <v>7144571.39</v>
      </c>
      <c r="H13" s="17">
        <f>Kosten!H35*1000</f>
        <v>60743000</v>
      </c>
      <c r="I13" s="17">
        <f>Kosten!I35*1000</f>
        <v>54864384.99999999</v>
      </c>
      <c r="J13" s="17">
        <f>Kosten!J35*1000</f>
        <v>2011923.51</v>
      </c>
      <c r="K13" s="17">
        <f>Kosten!K35*1000</f>
        <v>64403313</v>
      </c>
      <c r="L13" s="17">
        <f>Kosten!L35*1000</f>
        <v>6584000</v>
      </c>
      <c r="M13" s="17">
        <f>SUM(E13:L13)</f>
        <v>203918698.10000002</v>
      </c>
    </row>
    <row r="14" spans="2:13" ht="12.75">
      <c r="B14" s="14" t="s">
        <v>24</v>
      </c>
      <c r="C14" s="1" t="s">
        <v>43</v>
      </c>
      <c r="E14" s="17">
        <f>E11-E12-E13</f>
        <v>9617403.958654447</v>
      </c>
      <c r="F14" s="17">
        <f aca="true" t="shared" si="1" ref="F14:L14">F11-F12-F13</f>
        <v>56823566.29853192</v>
      </c>
      <c r="G14" s="17">
        <f t="shared" si="1"/>
        <v>22883542.586682253</v>
      </c>
      <c r="H14" s="17">
        <f t="shared" si="1"/>
        <v>744967019.719249</v>
      </c>
      <c r="I14" s="17">
        <f t="shared" si="1"/>
        <v>691312298.7846516</v>
      </c>
      <c r="J14" s="17">
        <f t="shared" si="1"/>
        <v>7235993.781500565</v>
      </c>
      <c r="K14" s="17">
        <f t="shared" si="1"/>
        <v>507033790.25960934</v>
      </c>
      <c r="L14" s="17">
        <f t="shared" si="1"/>
        <v>30967760.808883578</v>
      </c>
      <c r="M14" s="17">
        <f>SUM(E14:L14)</f>
        <v>2070841376.197763</v>
      </c>
    </row>
    <row r="15" spans="2:13" s="120" customFormat="1" ht="12.75">
      <c r="B15" s="121"/>
      <c r="C15" s="121"/>
      <c r="E15" s="74"/>
      <c r="F15" s="74"/>
      <c r="G15" s="74"/>
      <c r="H15" s="74"/>
      <c r="I15" s="74"/>
      <c r="J15" s="74"/>
      <c r="K15" s="74"/>
      <c r="L15" s="74"/>
      <c r="M15" s="74"/>
    </row>
    <row r="16" spans="2:13" ht="12.75">
      <c r="B16" s="1" t="s">
        <v>168</v>
      </c>
      <c r="C16" s="1" t="s">
        <v>44</v>
      </c>
      <c r="E16" s="17">
        <f>Kosten!E82*1000</f>
        <v>14251913.910154862</v>
      </c>
      <c r="F16" s="17">
        <f>Kosten!F82*1000</f>
        <v>59754838.69980931</v>
      </c>
      <c r="G16" s="17">
        <f>Kosten!G82*1000</f>
        <v>28125657.267378442</v>
      </c>
      <c r="H16" s="17">
        <f>Kosten!H82*1000</f>
        <v>789670754.5276237</v>
      </c>
      <c r="I16" s="17">
        <f>Kosten!I82*1000</f>
        <v>755732423.9415505</v>
      </c>
      <c r="J16" s="17">
        <f>Kosten!J82*1000</f>
        <v>10693074.747771196</v>
      </c>
      <c r="K16" s="17">
        <f>Kosten!K82*1000</f>
        <v>622617038.4357886</v>
      </c>
      <c r="L16" s="17">
        <f>Kosten!L82*1000</f>
        <v>37805998.87654546</v>
      </c>
      <c r="M16" s="17">
        <f>SUM(E16:L16)</f>
        <v>2318651700.406622</v>
      </c>
    </row>
    <row r="17" spans="2:13" ht="12.75">
      <c r="B17" s="1" t="s">
        <v>90</v>
      </c>
      <c r="C17" s="1" t="s">
        <v>44</v>
      </c>
      <c r="E17" s="17">
        <f>ORV!E36*1000</f>
        <v>1358320.2261972388</v>
      </c>
      <c r="F17" s="17">
        <f>ORV!F36*1000</f>
        <v>482726</v>
      </c>
      <c r="G17" s="17">
        <f>ORV!G36*1000</f>
        <v>0</v>
      </c>
      <c r="H17" s="17">
        <f>ORV!H36*1000</f>
        <v>1677000</v>
      </c>
      <c r="I17" s="17">
        <f>ORV!I36*1000</f>
        <v>14012000</v>
      </c>
      <c r="J17" s="17">
        <f>ORV!J36*1000</f>
        <v>984382.7720609403</v>
      </c>
      <c r="K17" s="17">
        <f>ORV!K36*1000</f>
        <v>14761361</v>
      </c>
      <c r="L17" s="17">
        <f>ORV!L36*1000</f>
        <v>13000</v>
      </c>
      <c r="M17" s="17">
        <f>SUM(E17:L17)</f>
        <v>33288789.99825818</v>
      </c>
    </row>
    <row r="18" spans="2:13" ht="12.75">
      <c r="B18" s="1" t="s">
        <v>27</v>
      </c>
      <c r="C18" s="1" t="s">
        <v>44</v>
      </c>
      <c r="E18" s="17">
        <f>(Kosten!E60+Kosten!E61)*1000</f>
        <v>3224000</v>
      </c>
      <c r="F18" s="17">
        <f>(Kosten!F60+Kosten!F61)*1000</f>
        <v>3396582.8</v>
      </c>
      <c r="G18" s="17">
        <f>(Kosten!G60+Kosten!G61)*1000</f>
        <v>7078593.960000002</v>
      </c>
      <c r="H18" s="17">
        <f>(Kosten!H60+Kosten!H61)*1000</f>
        <v>66243000</v>
      </c>
      <c r="I18" s="17">
        <f>(Kosten!I60+Kosten!I61)*1000</f>
        <v>57817823.00000001</v>
      </c>
      <c r="J18" s="17">
        <f>(Kosten!J60+Kosten!J61)*1000</f>
        <v>2030960</v>
      </c>
      <c r="K18" s="17">
        <f>(Kosten!K60+Kosten!K61)*1000</f>
        <v>67491819.75000001</v>
      </c>
      <c r="L18" s="17">
        <f>(Kosten!L60+Kosten!L61)*1000</f>
        <v>6872418.03</v>
      </c>
      <c r="M18" s="17">
        <f>SUM(E18:L18)</f>
        <v>214155197.54000005</v>
      </c>
    </row>
    <row r="19" spans="2:13" ht="12.75">
      <c r="B19" s="14" t="s">
        <v>25</v>
      </c>
      <c r="C19" s="1" t="s">
        <v>44</v>
      </c>
      <c r="E19" s="17">
        <f>E16-E17-E18</f>
        <v>9669593.683957623</v>
      </c>
      <c r="F19" s="17">
        <f aca="true" t="shared" si="2" ref="F19:L19">F16-F17-F18</f>
        <v>55875529.899809316</v>
      </c>
      <c r="G19" s="17">
        <f t="shared" si="2"/>
        <v>21047063.30737844</v>
      </c>
      <c r="H19" s="17">
        <f t="shared" si="2"/>
        <v>721750754.5276237</v>
      </c>
      <c r="I19" s="17">
        <f t="shared" si="2"/>
        <v>683902600.9415505</v>
      </c>
      <c r="J19" s="17">
        <f t="shared" si="2"/>
        <v>7677731.975710256</v>
      </c>
      <c r="K19" s="17">
        <f t="shared" si="2"/>
        <v>540363857.6857886</v>
      </c>
      <c r="L19" s="17">
        <f t="shared" si="2"/>
        <v>30920580.846545458</v>
      </c>
      <c r="M19" s="17">
        <f>SUM(E19:L19)</f>
        <v>2071207712.8683639</v>
      </c>
    </row>
    <row r="20" spans="2:13" s="120" customFormat="1" ht="12.75">
      <c r="B20" s="121"/>
      <c r="C20" s="121"/>
      <c r="E20" s="74"/>
      <c r="F20" s="74"/>
      <c r="G20" s="74"/>
      <c r="H20" s="74"/>
      <c r="I20" s="74"/>
      <c r="J20" s="74"/>
      <c r="K20" s="74"/>
      <c r="L20" s="74"/>
      <c r="M20" s="74"/>
    </row>
    <row r="21" spans="2:13" ht="12.75">
      <c r="B21" s="1" t="s">
        <v>169</v>
      </c>
      <c r="C21" s="1" t="s">
        <v>20</v>
      </c>
      <c r="E21" s="17">
        <f>Kosten!E109*1000</f>
        <v>13061</v>
      </c>
      <c r="F21" s="17">
        <f>Kosten!F109*1000</f>
        <v>13061</v>
      </c>
      <c r="G21" s="17">
        <f>Kosten!G109*1000</f>
        <v>13061</v>
      </c>
      <c r="H21" s="17">
        <f>Kosten!H109*1000</f>
        <v>13061</v>
      </c>
      <c r="I21" s="17">
        <f>Kosten!I109*1000</f>
        <v>13061</v>
      </c>
      <c r="J21" s="17">
        <f>Kosten!J109*1000</f>
        <v>13061</v>
      </c>
      <c r="K21" s="17">
        <f>Kosten!K109*1000</f>
        <v>13061</v>
      </c>
      <c r="L21" s="17">
        <f>Kosten!L109*1000</f>
        <v>13061</v>
      </c>
      <c r="M21" s="17">
        <f>SUM(E21:L21)</f>
        <v>104488</v>
      </c>
    </row>
    <row r="22" spans="2:13" ht="12.75">
      <c r="B22" s="1" t="s">
        <v>91</v>
      </c>
      <c r="C22" s="1" t="s">
        <v>20</v>
      </c>
      <c r="E22" s="17">
        <f>ORV!E44*1000</f>
        <v>1359134.2672321203</v>
      </c>
      <c r="F22" s="17">
        <f>ORV!F44*1000</f>
        <v>2000</v>
      </c>
      <c r="G22" s="17">
        <f>ORV!G44*1000</f>
        <v>2000</v>
      </c>
      <c r="H22" s="17">
        <f>ORV!H44*1000</f>
        <v>2000</v>
      </c>
      <c r="I22" s="17">
        <f>ORV!I44*1000</f>
        <v>2000</v>
      </c>
      <c r="J22" s="17">
        <f>ORV!J44*1000</f>
        <v>979244.2073445424</v>
      </c>
      <c r="K22" s="17">
        <f>ORV!K44*1000</f>
        <v>2000</v>
      </c>
      <c r="L22" s="17">
        <f>ORV!L44*1000</f>
        <v>2000</v>
      </c>
      <c r="M22" s="17">
        <f>SUM(E22:L22)</f>
        <v>2350378.4745766628</v>
      </c>
    </row>
    <row r="23" spans="2:13" ht="12.75">
      <c r="B23" s="1" t="s">
        <v>28</v>
      </c>
      <c r="C23" s="1" t="s">
        <v>20</v>
      </c>
      <c r="E23" s="17">
        <f>(Kosten!E87+Kosten!E88)*1000</f>
        <v>2000</v>
      </c>
      <c r="F23" s="17">
        <f>(Kosten!F87+Kosten!F88)*1000</f>
        <v>2000</v>
      </c>
      <c r="G23" s="17">
        <f>(Kosten!G87+Kosten!G88)*1000</f>
        <v>2000</v>
      </c>
      <c r="H23" s="17">
        <f>(Kosten!H87+Kosten!H88)*1000</f>
        <v>2000</v>
      </c>
      <c r="I23" s="17">
        <f>(Kosten!I87+Kosten!I88)*1000</f>
        <v>2000</v>
      </c>
      <c r="J23" s="17">
        <f>(Kosten!J87+Kosten!J88)*1000</f>
        <v>2000</v>
      </c>
      <c r="K23" s="17">
        <f>(Kosten!K87+Kosten!K88)*1000</f>
        <v>2000</v>
      </c>
      <c r="L23" s="17">
        <f>(Kosten!L87+Kosten!L88)*1000</f>
        <v>2000</v>
      </c>
      <c r="M23" s="17">
        <f>SUM(E23:L23)</f>
        <v>16000</v>
      </c>
    </row>
    <row r="24" spans="2:13" ht="12.75">
      <c r="B24" s="14" t="s">
        <v>26</v>
      </c>
      <c r="C24" s="1" t="s">
        <v>20</v>
      </c>
      <c r="E24" s="17">
        <f>E21-E22-E23</f>
        <v>-1348073.2672321203</v>
      </c>
      <c r="F24" s="17">
        <f aca="true" t="shared" si="3" ref="F24:L24">F21-F22-F23</f>
        <v>9061</v>
      </c>
      <c r="G24" s="17">
        <f t="shared" si="3"/>
        <v>9061</v>
      </c>
      <c r="H24" s="17">
        <f t="shared" si="3"/>
        <v>9061</v>
      </c>
      <c r="I24" s="17">
        <f t="shared" si="3"/>
        <v>9061</v>
      </c>
      <c r="J24" s="17">
        <f t="shared" si="3"/>
        <v>-968183.2073445424</v>
      </c>
      <c r="K24" s="17">
        <f t="shared" si="3"/>
        <v>9061</v>
      </c>
      <c r="L24" s="17">
        <f t="shared" si="3"/>
        <v>9061</v>
      </c>
      <c r="M24" s="17">
        <f>SUM(E24:L24)</f>
        <v>-2261890.4745766628</v>
      </c>
    </row>
    <row r="25" spans="5:13" ht="12.75"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2.75">
      <c r="B26" s="1" t="s">
        <v>24</v>
      </c>
      <c r="C26" s="1" t="s">
        <v>42</v>
      </c>
      <c r="E26" s="17">
        <f>E14/(1+CPI2007)</f>
        <v>9484619.288613852</v>
      </c>
      <c r="F26" s="17">
        <f aca="true" t="shared" si="4" ref="F26:L26">F14/(1+CPI2007)</f>
        <v>56039020.01827605</v>
      </c>
      <c r="G26" s="17">
        <f t="shared" si="4"/>
        <v>22567596.23933161</v>
      </c>
      <c r="H26" s="17">
        <f t="shared" si="4"/>
        <v>734681479.013066</v>
      </c>
      <c r="I26" s="17">
        <f t="shared" si="4"/>
        <v>681767553.0420628</v>
      </c>
      <c r="J26" s="17">
        <f t="shared" si="4"/>
        <v>7136088.541913772</v>
      </c>
      <c r="K26" s="17">
        <f t="shared" si="4"/>
        <v>500033323.7274254</v>
      </c>
      <c r="L26" s="17">
        <f t="shared" si="4"/>
        <v>30540198.036374338</v>
      </c>
      <c r="M26" s="17">
        <f>SUM(E26:L26)</f>
        <v>2042249877.9070637</v>
      </c>
    </row>
    <row r="27" spans="2:13" ht="12.75">
      <c r="B27" s="1" t="s">
        <v>25</v>
      </c>
      <c r="C27" s="1" t="s">
        <v>43</v>
      </c>
      <c r="E27" s="17">
        <f>E19/(1+CPI2008)</f>
        <v>9564385.444072824</v>
      </c>
      <c r="F27" s="17">
        <f aca="true" t="shared" si="5" ref="F27:L27">F19/(1+CPI2008)</f>
        <v>55267586.44887173</v>
      </c>
      <c r="G27" s="17">
        <f t="shared" si="5"/>
        <v>20818064.596813496</v>
      </c>
      <c r="H27" s="17">
        <f t="shared" si="5"/>
        <v>713897877.8710423</v>
      </c>
      <c r="I27" s="17">
        <f t="shared" si="5"/>
        <v>676461524.1756188</v>
      </c>
      <c r="J27" s="17">
        <f t="shared" si="5"/>
        <v>7594195.821671866</v>
      </c>
      <c r="K27" s="17">
        <f t="shared" si="5"/>
        <v>534484527.8791184</v>
      </c>
      <c r="L27" s="17">
        <f t="shared" si="5"/>
        <v>30584155.140005402</v>
      </c>
      <c r="M27" s="17">
        <f>SUM(E27:L27)</f>
        <v>2048672317.3772147</v>
      </c>
    </row>
    <row r="28" spans="2:13" ht="12.75">
      <c r="B28" s="1" t="s">
        <v>26</v>
      </c>
      <c r="C28" s="1" t="s">
        <v>44</v>
      </c>
      <c r="E28" s="17">
        <f>E24/(1+CPI2009)</f>
        <v>-1306272.5457675583</v>
      </c>
      <c r="F28" s="17">
        <f aca="true" t="shared" si="6" ref="F28:L28">F24/(1+CPI2009)</f>
        <v>8780.038759689922</v>
      </c>
      <c r="G28" s="17">
        <f t="shared" si="6"/>
        <v>8780.038759689922</v>
      </c>
      <c r="H28" s="17">
        <f t="shared" si="6"/>
        <v>8780.038759689922</v>
      </c>
      <c r="I28" s="17">
        <f t="shared" si="6"/>
        <v>8780.038759689922</v>
      </c>
      <c r="J28" s="17">
        <f t="shared" si="6"/>
        <v>-938162.0226206806</v>
      </c>
      <c r="K28" s="17">
        <f t="shared" si="6"/>
        <v>8780.038759689922</v>
      </c>
      <c r="L28" s="17">
        <f t="shared" si="6"/>
        <v>8780.038759689922</v>
      </c>
      <c r="M28" s="17">
        <f>SUM(E28:L28)</f>
        <v>-2191754.3358300994</v>
      </c>
    </row>
    <row r="29" spans="5:13" ht="12.75"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2.75">
      <c r="B30" s="14" t="s">
        <v>165</v>
      </c>
      <c r="C30" s="14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2.75">
      <c r="B31" s="120" t="s">
        <v>456</v>
      </c>
      <c r="C31" s="120"/>
      <c r="E31" s="17">
        <f>SO!E6+SO!E7</f>
        <v>14127064.469848813</v>
      </c>
      <c r="F31" s="17">
        <f>SO!F6+SO!F7</f>
        <v>66527171.4099527</v>
      </c>
      <c r="G31" s="17">
        <f>SO!G6+SO!G7</f>
        <v>29223887.851022314</v>
      </c>
      <c r="H31" s="17">
        <f>SO!H6+SO!H7</f>
        <v>766734275.0468522</v>
      </c>
      <c r="I31" s="17">
        <f>SO!I6+SO!I7</f>
        <v>788952061.8682477</v>
      </c>
      <c r="J31" s="17">
        <f>SO!J6+SO!J7</f>
        <v>8745724.510598185</v>
      </c>
      <c r="K31" s="17">
        <f>SO!K6+SO!K7</f>
        <v>558471314.0957668</v>
      </c>
      <c r="L31" s="17">
        <f>SO!L6+SO!L7</f>
        <v>32131254.888371445</v>
      </c>
      <c r="M31" s="17">
        <f>SUM(E31:L31)</f>
        <v>2264912754.1406603</v>
      </c>
    </row>
    <row r="32" spans="2:13" ht="12.75">
      <c r="B32" s="120" t="s">
        <v>457</v>
      </c>
      <c r="C32" s="120"/>
      <c r="E32" s="17">
        <f>SO!E15+SO!E16</f>
        <v>14306143.792235497</v>
      </c>
      <c r="F32" s="17">
        <f>SO!F15+SO!F16</f>
        <v>66369907.40230276</v>
      </c>
      <c r="G32" s="17">
        <f>SO!G15+SO!G16</f>
        <v>28967651.29204993</v>
      </c>
      <c r="H32" s="17">
        <f>SO!H15+SO!H16</f>
        <v>778747439.8469797</v>
      </c>
      <c r="I32" s="17">
        <f>SO!I15+SO!I16</f>
        <v>796212575.4080683</v>
      </c>
      <c r="J32" s="17">
        <f>SO!J15+SO!J16</f>
        <v>8657072.004728347</v>
      </c>
      <c r="K32" s="17">
        <f>SO!K15+SO!K16</f>
        <v>561758570.8797157</v>
      </c>
      <c r="L32" s="17">
        <f>SO!L15+SO!L16</f>
        <v>33023858.942703545</v>
      </c>
      <c r="M32" s="17">
        <f>SUM(E32:L32)</f>
        <v>2288043219.568784</v>
      </c>
    </row>
    <row r="33" spans="2:13" ht="12.75">
      <c r="B33" s="120" t="s">
        <v>458</v>
      </c>
      <c r="C33" s="120"/>
      <c r="E33" s="17">
        <f>SO!E24+SO!E25</f>
        <v>14565693.667080197</v>
      </c>
      <c r="F33" s="17">
        <f>SO!F24+SO!F25</f>
        <v>55721381.78187316</v>
      </c>
      <c r="G33" s="17">
        <f>SO!G24+SO!G25</f>
        <v>29526348.552141465</v>
      </c>
      <c r="H33" s="17">
        <f>SO!H24+SO!H25</f>
        <v>733129783.6514217</v>
      </c>
      <c r="I33" s="17">
        <f>SO!I24+SO!I25</f>
        <v>796703946.015026</v>
      </c>
      <c r="J33" s="17">
        <f>SO!J24+SO!J25</f>
        <v>8796867.799722468</v>
      </c>
      <c r="K33" s="17">
        <f>SO!K24+SO!K25</f>
        <v>561945254.5386358</v>
      </c>
      <c r="L33" s="17">
        <f>SO!L24+SO!L25</f>
        <v>32868427.664776396</v>
      </c>
      <c r="M33" s="17">
        <f>SUM(E33:L33)</f>
        <v>2233257703.670677</v>
      </c>
    </row>
    <row r="34" spans="2:13" ht="12.75">
      <c r="B34" s="120" t="s">
        <v>459</v>
      </c>
      <c r="C34" s="120"/>
      <c r="E34" s="17">
        <f>SO!E33+SO!E34</f>
        <v>6091.078625620642</v>
      </c>
      <c r="F34" s="17">
        <f>SO!F33+SO!F34</f>
        <v>19367.958814171157</v>
      </c>
      <c r="G34" s="17">
        <f>SO!G33+SO!G34</f>
        <v>14652.955936942277</v>
      </c>
      <c r="H34" s="17">
        <f>SO!H33+SO!H34</f>
        <v>17046.6494531277</v>
      </c>
      <c r="I34" s="17">
        <f>SO!I33+SO!I34</f>
        <v>24906.36472871575</v>
      </c>
      <c r="J34" s="17">
        <f>SO!J33+SO!J34</f>
        <v>6550.889821984384</v>
      </c>
      <c r="K34" s="17">
        <f>SO!K33+SO!K34</f>
        <v>27670.946337122747</v>
      </c>
      <c r="L34" s="17">
        <f>SO!L33+SO!L34</f>
        <v>13826.575903301533</v>
      </c>
      <c r="M34" s="17">
        <f>SUM(E34:L34)</f>
        <v>130113.41962098618</v>
      </c>
    </row>
    <row r="35" spans="5:13" ht="12.75"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2.75">
      <c r="B36" s="14" t="s">
        <v>166</v>
      </c>
      <c r="C36" s="14"/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2.75">
      <c r="B37" s="1" t="s">
        <v>170</v>
      </c>
      <c r="E37" s="19">
        <f aca="true" t="shared" si="7" ref="E37:M37">(E9/E31-E26/E32)/(E9/E31)</f>
        <v>-0.015446148172641231</v>
      </c>
      <c r="F37" s="19">
        <f t="shared" si="7"/>
        <v>-0.21306611631353214</v>
      </c>
      <c r="G37" s="19">
        <f t="shared" si="7"/>
        <v>-0.06426364415791463</v>
      </c>
      <c r="H37" s="19">
        <f t="shared" si="7"/>
        <v>0.031013831978556214</v>
      </c>
      <c r="I37" s="19">
        <f t="shared" si="7"/>
        <v>0.021708511203757233</v>
      </c>
      <c r="J37" s="19">
        <f t="shared" si="7"/>
        <v>0.015184381445240504</v>
      </c>
      <c r="K37" s="19">
        <f t="shared" si="7"/>
        <v>-0.037637509879291126</v>
      </c>
      <c r="L37" s="19">
        <f t="shared" si="7"/>
        <v>-0.1103564500469018</v>
      </c>
      <c r="M37" s="19">
        <f t="shared" si="7"/>
        <v>0.002721242999121047</v>
      </c>
    </row>
    <row r="38" spans="2:13" ht="12.75">
      <c r="B38" s="1" t="s">
        <v>171</v>
      </c>
      <c r="E38" s="19">
        <f aca="true" t="shared" si="8" ref="E38:M38">(E14/E32-E27/E33)/(E14/E32)</f>
        <v>0.023233793803531994</v>
      </c>
      <c r="F38" s="19">
        <f t="shared" si="8"/>
        <v>-0.1584874848299001</v>
      </c>
      <c r="G38" s="19">
        <f t="shared" si="8"/>
        <v>0.10747449536051144</v>
      </c>
      <c r="H38" s="19">
        <f t="shared" si="8"/>
        <v>-0.017922732052429714</v>
      </c>
      <c r="I38" s="19">
        <f t="shared" si="8"/>
        <v>0.022085510714528918</v>
      </c>
      <c r="J38" s="19">
        <f t="shared" si="8"/>
        <v>-0.03282459392889659</v>
      </c>
      <c r="K38" s="19">
        <f t="shared" si="8"/>
        <v>-0.05378966294558161</v>
      </c>
      <c r="L38" s="19">
        <f t="shared" si="8"/>
        <v>0.007716943850337943</v>
      </c>
      <c r="M38" s="19">
        <f t="shared" si="8"/>
        <v>-0.01356370009442556</v>
      </c>
    </row>
    <row r="39" spans="2:13" ht="12.75">
      <c r="B39" s="1" t="s">
        <v>172</v>
      </c>
      <c r="E39" s="19">
        <f aca="true" t="shared" si="9" ref="E39:M39">(E19/E33-E28/E34)/(E19/E33)</f>
        <v>324.0446405577842</v>
      </c>
      <c r="F39" s="19">
        <f t="shared" si="9"/>
        <v>0.5479225933876339</v>
      </c>
      <c r="G39" s="19">
        <f t="shared" si="9"/>
        <v>0.1593999252295713</v>
      </c>
      <c r="H39" s="19">
        <f t="shared" si="9"/>
        <v>0.47682013754957675</v>
      </c>
      <c r="I39" s="19">
        <f t="shared" si="9"/>
        <v>0.5893339487334877</v>
      </c>
      <c r="J39" s="19">
        <f t="shared" si="9"/>
        <v>165.08643199951342</v>
      </c>
      <c r="K39" s="19">
        <f t="shared" si="9"/>
        <v>0.6700256852865074</v>
      </c>
      <c r="L39" s="19">
        <f t="shared" si="9"/>
        <v>0.32498553962268806</v>
      </c>
      <c r="M39" s="19">
        <f t="shared" si="9"/>
        <v>19.162890696420735</v>
      </c>
    </row>
    <row r="40" spans="5:13" ht="12.75">
      <c r="E40" s="20"/>
      <c r="F40" s="20"/>
      <c r="G40" s="20"/>
      <c r="H40" s="20"/>
      <c r="I40" s="20"/>
      <c r="J40" s="20"/>
      <c r="K40" s="20"/>
      <c r="L40" s="20"/>
      <c r="M40" s="20"/>
    </row>
    <row r="41" spans="2:4" s="21" customFormat="1" ht="18">
      <c r="B41" s="21" t="s">
        <v>173</v>
      </c>
      <c r="D41" s="108">
        <v>3.7699695951620518</v>
      </c>
    </row>
    <row r="43" spans="2:5" ht="12.75">
      <c r="B43" s="23" t="s">
        <v>278</v>
      </c>
      <c r="C43" s="23"/>
      <c r="D43" s="106">
        <f>(1-D41)+(1-D41)^2+(1-D41)^3</f>
        <v>-16.350471164878737</v>
      </c>
      <c r="E43" s="23"/>
    </row>
    <row r="44" spans="2:5" ht="12.75">
      <c r="B44" s="23" t="s">
        <v>279</v>
      </c>
      <c r="C44" s="23"/>
      <c r="D44" s="106">
        <f>(1-M37)+(1-M37)*(1-M38)+(1-M37)*(1-M38)*(1-M39)</f>
        <v>-16.351066361004698</v>
      </c>
      <c r="E44" s="23"/>
    </row>
    <row r="45" spans="2:9" ht="12.75">
      <c r="B45" s="23" t="s">
        <v>280</v>
      </c>
      <c r="C45" s="23"/>
      <c r="D45" s="107">
        <f>D44-D43</f>
        <v>-0.0005951961259604843</v>
      </c>
      <c r="E45" s="23"/>
      <c r="F45" s="105"/>
      <c r="G45" s="105"/>
      <c r="H45" s="105"/>
      <c r="I45" s="105"/>
    </row>
    <row r="46" spans="2:9" ht="12.75">
      <c r="B46" s="23"/>
      <c r="C46" s="23"/>
      <c r="D46" s="86"/>
      <c r="E46" s="23"/>
      <c r="F46" s="105"/>
      <c r="G46" s="105"/>
      <c r="H46" s="105"/>
      <c r="I46" s="105"/>
    </row>
    <row r="47" spans="2:9" ht="12.75">
      <c r="B47" s="23"/>
      <c r="C47" s="23"/>
      <c r="D47" s="86"/>
      <c r="E47" s="23"/>
      <c r="F47" s="105"/>
      <c r="G47" s="105"/>
      <c r="H47" s="105"/>
      <c r="I47" s="105"/>
    </row>
    <row r="48" spans="2:9" ht="12.75">
      <c r="B48" s="23"/>
      <c r="C48" s="23"/>
      <c r="D48" s="86"/>
      <c r="E48" s="23"/>
      <c r="F48" s="105"/>
      <c r="G48" s="105"/>
      <c r="H48" s="105"/>
      <c r="I48" s="105"/>
    </row>
    <row r="49" spans="2:9" ht="12.75">
      <c r="B49" s="23"/>
      <c r="C49" s="23"/>
      <c r="D49" s="86"/>
      <c r="E49" s="23"/>
      <c r="F49" s="105"/>
      <c r="G49" s="105"/>
      <c r="H49" s="105"/>
      <c r="I49" s="105"/>
    </row>
    <row r="50" spans="2:9" ht="12.75">
      <c r="B50" s="23"/>
      <c r="C50" s="23"/>
      <c r="D50" s="86"/>
      <c r="E50" s="23"/>
      <c r="F50" s="105"/>
      <c r="G50" s="105"/>
      <c r="H50" s="105"/>
      <c r="I50" s="105"/>
    </row>
    <row r="51" spans="4:9" ht="12.75">
      <c r="D51" s="120"/>
      <c r="E51" s="99"/>
      <c r="F51" s="99"/>
      <c r="G51" s="99"/>
      <c r="H51" s="99"/>
      <c r="I51" s="10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B2:T65529"/>
  <sheetViews>
    <sheetView showGridLines="0" zoomScale="85" zoomScaleNormal="85" workbookViewId="0" topLeftCell="A1">
      <pane xSplit="4" ySplit="2" topLeftCell="E3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B4" sqref="B4"/>
    </sheetView>
  </sheetViews>
  <sheetFormatPr defaultColWidth="9.140625" defaultRowHeight="12.75"/>
  <cols>
    <col min="1" max="1" width="1.7109375" style="15" customWidth="1"/>
    <col min="2" max="2" width="64.140625" style="15" customWidth="1"/>
    <col min="3" max="3" width="15.8515625" style="15" customWidth="1"/>
    <col min="4" max="4" width="7.57421875" style="15" customWidth="1"/>
    <col min="5" max="5" width="9.140625" style="15" customWidth="1"/>
    <col min="6" max="7" width="10.57421875" style="15" bestFit="1" customWidth="1"/>
    <col min="8" max="9" width="11.57421875" style="15" bestFit="1" customWidth="1"/>
    <col min="10" max="10" width="9.140625" style="15" customWidth="1"/>
    <col min="11" max="11" width="11.57421875" style="15" bestFit="1" customWidth="1"/>
    <col min="12" max="12" width="10.57421875" style="15" bestFit="1" customWidth="1"/>
    <col min="13" max="13" width="10.57421875" style="15" customWidth="1"/>
    <col min="14" max="16384" width="9.140625" style="15" customWidth="1"/>
  </cols>
  <sheetData>
    <row r="1" ht="12.75"/>
    <row r="2" spans="2:13" s="41" customFormat="1" ht="134.25" customHeight="1">
      <c r="B2" s="75" t="s">
        <v>174</v>
      </c>
      <c r="C2" s="75"/>
      <c r="D2" s="75"/>
      <c r="E2" s="4" t="s">
        <v>146</v>
      </c>
      <c r="F2" s="4" t="s">
        <v>29</v>
      </c>
      <c r="G2" s="4" t="s">
        <v>455</v>
      </c>
      <c r="H2" s="4" t="s">
        <v>148</v>
      </c>
      <c r="I2" s="4" t="s">
        <v>150</v>
      </c>
      <c r="J2" s="4" t="s">
        <v>151</v>
      </c>
      <c r="K2" s="4" t="s">
        <v>147</v>
      </c>
      <c r="L2" s="4" t="s">
        <v>30</v>
      </c>
      <c r="M2" s="4" t="s">
        <v>153</v>
      </c>
    </row>
    <row r="3" ht="12.75"/>
    <row r="4" spans="2:14" s="78" customFormat="1" ht="12.75">
      <c r="B4" s="76"/>
      <c r="C4" s="76"/>
      <c r="D4" s="76"/>
      <c r="E4" s="77"/>
      <c r="F4" s="77"/>
      <c r="G4" s="77"/>
      <c r="H4" s="77"/>
      <c r="I4" s="77"/>
      <c r="J4" s="77"/>
      <c r="K4" s="77"/>
      <c r="L4" s="77"/>
      <c r="M4" s="77"/>
      <c r="N4" s="13"/>
    </row>
    <row r="5" spans="5:20" s="78" customFormat="1" ht="12.75">
      <c r="E5" s="13"/>
      <c r="F5" s="13"/>
      <c r="G5" s="13"/>
      <c r="H5" s="13"/>
      <c r="I5" s="13"/>
      <c r="J5" s="13"/>
      <c r="K5" s="13"/>
      <c r="L5" s="13"/>
      <c r="M5" s="13"/>
      <c r="N5" s="13"/>
      <c r="R5" s="13"/>
      <c r="S5" s="13"/>
      <c r="T5" s="13"/>
    </row>
    <row r="6" spans="2:4" s="42" customFormat="1" ht="12.75">
      <c r="B6" s="83" t="s">
        <v>131</v>
      </c>
      <c r="C6" s="83"/>
      <c r="D6" s="83"/>
    </row>
    <row r="7" spans="2:20" s="78" customFormat="1" ht="12.75">
      <c r="B7" s="76"/>
      <c r="C7" s="76"/>
      <c r="D7" s="76"/>
      <c r="E7" s="13"/>
      <c r="F7" s="13"/>
      <c r="G7" s="13"/>
      <c r="H7" s="13"/>
      <c r="I7" s="13"/>
      <c r="J7" s="13"/>
      <c r="K7" s="13"/>
      <c r="L7" s="13"/>
      <c r="M7" s="13"/>
      <c r="N7" s="13"/>
      <c r="R7" s="13"/>
      <c r="S7" s="13"/>
      <c r="T7" s="13"/>
    </row>
    <row r="8" spans="2:20" s="78" customFormat="1" ht="12.75">
      <c r="B8" s="76" t="s">
        <v>194</v>
      </c>
      <c r="C8" s="76"/>
      <c r="D8" s="76"/>
      <c r="E8" s="13"/>
      <c r="F8" s="13"/>
      <c r="G8" s="13"/>
      <c r="H8" s="13"/>
      <c r="I8" s="13"/>
      <c r="J8" s="13"/>
      <c r="K8" s="13"/>
      <c r="L8" s="13"/>
      <c r="M8" s="13"/>
      <c r="N8" s="13"/>
      <c r="R8" s="13"/>
      <c r="S8" s="13"/>
      <c r="T8" s="13"/>
    </row>
    <row r="9" spans="2:20" s="78" customFormat="1" ht="12.75">
      <c r="B9" s="78" t="s">
        <v>175</v>
      </c>
      <c r="C9" s="78" t="s">
        <v>114</v>
      </c>
      <c r="E9" s="22">
        <v>3085</v>
      </c>
      <c r="F9" s="22">
        <v>4967.8254</v>
      </c>
      <c r="G9" s="22">
        <v>6895.10648</v>
      </c>
      <c r="H9" s="22">
        <v>48162</v>
      </c>
      <c r="I9" s="22">
        <v>43166.399</v>
      </c>
      <c r="J9" s="22">
        <v>2018.972</v>
      </c>
      <c r="K9" s="22">
        <v>65280.029</v>
      </c>
      <c r="L9" s="22">
        <v>8483.20618</v>
      </c>
      <c r="M9" s="12">
        <f aca="true" t="shared" si="0" ref="M9:M20">SUM(E9:L9)</f>
        <v>182058.53806</v>
      </c>
      <c r="N9" s="13"/>
      <c r="R9" s="13"/>
      <c r="S9" s="13"/>
      <c r="T9" s="13"/>
    </row>
    <row r="10" spans="2:20" s="78" customFormat="1" ht="12.75">
      <c r="B10" s="78" t="s">
        <v>176</v>
      </c>
      <c r="C10" s="78" t="s">
        <v>114</v>
      </c>
      <c r="E10" s="22">
        <v>1004</v>
      </c>
      <c r="F10" s="22">
        <v>5305.6487</v>
      </c>
      <c r="G10" s="22">
        <v>4575.36135</v>
      </c>
      <c r="H10" s="22">
        <v>126599</v>
      </c>
      <c r="I10" s="22">
        <v>98632.867</v>
      </c>
      <c r="J10" s="22">
        <v>549.841</v>
      </c>
      <c r="K10" s="22">
        <v>64204.5298</v>
      </c>
      <c r="L10" s="22">
        <v>3150.61282</v>
      </c>
      <c r="M10" s="12">
        <f t="shared" si="0"/>
        <v>304021.86066999997</v>
      </c>
      <c r="N10" s="13"/>
      <c r="R10" s="13"/>
      <c r="S10" s="13"/>
      <c r="T10" s="13"/>
    </row>
    <row r="11" spans="2:20" s="78" customFormat="1" ht="12.75">
      <c r="B11" s="78" t="s">
        <v>177</v>
      </c>
      <c r="C11" s="78" t="s">
        <v>114</v>
      </c>
      <c r="E11" s="22"/>
      <c r="F11" s="22">
        <v>12.039</v>
      </c>
      <c r="G11" s="22"/>
      <c r="H11" s="22"/>
      <c r="I11" s="22"/>
      <c r="J11" s="22"/>
      <c r="K11" s="22">
        <v>302.37</v>
      </c>
      <c r="L11" s="22">
        <v>432</v>
      </c>
      <c r="M11" s="12">
        <f t="shared" si="0"/>
        <v>746.409</v>
      </c>
      <c r="N11" s="13"/>
      <c r="R11" s="13"/>
      <c r="S11" s="13"/>
      <c r="T11" s="13"/>
    </row>
    <row r="12" spans="2:20" s="78" customFormat="1" ht="12.75">
      <c r="B12" s="79" t="s">
        <v>178</v>
      </c>
      <c r="C12" s="78" t="s">
        <v>114</v>
      </c>
      <c r="D12" s="79"/>
      <c r="E12" s="12">
        <f>SUM(E9:E11)</f>
        <v>4089</v>
      </c>
      <c r="F12" s="12">
        <f aca="true" t="shared" si="1" ref="F12:L12">SUM(F9:F11)</f>
        <v>10285.5131</v>
      </c>
      <c r="G12" s="12">
        <f t="shared" si="1"/>
        <v>11470.467830000001</v>
      </c>
      <c r="H12" s="12">
        <f t="shared" si="1"/>
        <v>174761</v>
      </c>
      <c r="I12" s="12">
        <f t="shared" si="1"/>
        <v>141799.266</v>
      </c>
      <c r="J12" s="12">
        <f t="shared" si="1"/>
        <v>2568.813</v>
      </c>
      <c r="K12" s="12">
        <f t="shared" si="1"/>
        <v>129786.9288</v>
      </c>
      <c r="L12" s="12">
        <f t="shared" si="1"/>
        <v>12065.819</v>
      </c>
      <c r="M12" s="12">
        <f t="shared" si="0"/>
        <v>486826.80773000006</v>
      </c>
      <c r="N12" s="13"/>
      <c r="R12" s="13"/>
      <c r="S12" s="13"/>
      <c r="T12" s="13"/>
    </row>
    <row r="13" spans="2:20" s="78" customFormat="1" ht="12.75">
      <c r="B13" s="78" t="s">
        <v>179</v>
      </c>
      <c r="C13" s="78" t="s">
        <v>114</v>
      </c>
      <c r="E13" s="22">
        <v>54</v>
      </c>
      <c r="F13" s="22">
        <v>1799.0607321212121</v>
      </c>
      <c r="G13" s="22">
        <v>2206.64005</v>
      </c>
      <c r="H13" s="22"/>
      <c r="I13" s="22">
        <v>8510.189321464273</v>
      </c>
      <c r="J13" s="22">
        <v>1541.149</v>
      </c>
      <c r="K13" s="22">
        <v>70086.91198901187</v>
      </c>
      <c r="L13" s="22"/>
      <c r="M13" s="12">
        <f t="shared" si="0"/>
        <v>84197.95109259736</v>
      </c>
      <c r="N13" s="13"/>
      <c r="R13" s="13"/>
      <c r="S13" s="13"/>
      <c r="T13" s="13"/>
    </row>
    <row r="14" spans="2:20" s="78" customFormat="1" ht="12.75">
      <c r="B14" s="78" t="s">
        <v>180</v>
      </c>
      <c r="C14" s="78" t="s">
        <v>114</v>
      </c>
      <c r="E14" s="22">
        <v>3475</v>
      </c>
      <c r="F14" s="22">
        <v>12549.985333715918</v>
      </c>
      <c r="G14" s="22">
        <v>396.12009</v>
      </c>
      <c r="H14" s="22"/>
      <c r="I14" s="22">
        <v>227554.29724857718</v>
      </c>
      <c r="J14" s="22">
        <v>563.23</v>
      </c>
      <c r="K14" s="22">
        <v>46356.27583233763</v>
      </c>
      <c r="L14" s="22"/>
      <c r="M14" s="12">
        <f t="shared" si="0"/>
        <v>290894.90850463073</v>
      </c>
      <c r="N14" s="13"/>
      <c r="R14" s="13"/>
      <c r="S14" s="13"/>
      <c r="T14" s="13"/>
    </row>
    <row r="15" spans="2:20" s="78" customFormat="1" ht="12.75">
      <c r="B15" s="78" t="s">
        <v>181</v>
      </c>
      <c r="C15" s="78" t="s">
        <v>114</v>
      </c>
      <c r="E15" s="22"/>
      <c r="F15" s="22">
        <v>0</v>
      </c>
      <c r="G15" s="22"/>
      <c r="H15" s="22"/>
      <c r="I15" s="22"/>
      <c r="J15" s="22"/>
      <c r="K15" s="22">
        <v>0</v>
      </c>
      <c r="L15" s="22"/>
      <c r="M15" s="12">
        <f t="shared" si="0"/>
        <v>0</v>
      </c>
      <c r="N15" s="13"/>
      <c r="R15" s="13"/>
      <c r="S15" s="13"/>
      <c r="T15" s="13"/>
    </row>
    <row r="16" spans="2:20" s="78" customFormat="1" ht="12.75">
      <c r="B16" s="78" t="s">
        <v>182</v>
      </c>
      <c r="C16" s="78" t="s">
        <v>114</v>
      </c>
      <c r="E16" s="22"/>
      <c r="F16" s="22"/>
      <c r="G16" s="22"/>
      <c r="H16" s="22"/>
      <c r="I16" s="22"/>
      <c r="J16" s="22"/>
      <c r="K16" s="22">
        <v>0</v>
      </c>
      <c r="L16" s="22"/>
      <c r="M16" s="12">
        <f t="shared" si="0"/>
        <v>0</v>
      </c>
      <c r="N16" s="13"/>
      <c r="R16" s="13"/>
      <c r="S16" s="13"/>
      <c r="T16" s="13"/>
    </row>
    <row r="17" spans="2:20" s="78" customFormat="1" ht="12.75">
      <c r="B17" s="78" t="s">
        <v>284</v>
      </c>
      <c r="C17" s="78" t="s">
        <v>114</v>
      </c>
      <c r="E17" s="22">
        <v>1</v>
      </c>
      <c r="F17" s="22">
        <v>0</v>
      </c>
      <c r="G17" s="22">
        <v>0</v>
      </c>
      <c r="H17" s="22">
        <v>1772.8</v>
      </c>
      <c r="I17" s="22">
        <v>0</v>
      </c>
      <c r="J17" s="22">
        <v>0</v>
      </c>
      <c r="K17" s="22">
        <v>20.167</v>
      </c>
      <c r="L17" s="22">
        <v>0</v>
      </c>
      <c r="M17" s="12">
        <f>SUM(E17:L17)</f>
        <v>1793.9669999999999</v>
      </c>
      <c r="N17" s="13"/>
      <c r="R17" s="13"/>
      <c r="S17" s="13"/>
      <c r="T17" s="13"/>
    </row>
    <row r="18" spans="2:20" s="78" customFormat="1" ht="12.75">
      <c r="B18" s="78" t="s">
        <v>183</v>
      </c>
      <c r="C18" s="78" t="s">
        <v>114</v>
      </c>
      <c r="E18" s="22"/>
      <c r="F18" s="22">
        <v>460.239</v>
      </c>
      <c r="G18" s="22"/>
      <c r="H18" s="22"/>
      <c r="I18" s="22">
        <v>12580.818</v>
      </c>
      <c r="J18" s="22"/>
      <c r="K18" s="22">
        <v>14239.941</v>
      </c>
      <c r="L18" s="22"/>
      <c r="M18" s="12">
        <f t="shared" si="0"/>
        <v>27280.998</v>
      </c>
      <c r="N18" s="13"/>
      <c r="R18" s="13"/>
      <c r="S18" s="13"/>
      <c r="T18" s="13"/>
    </row>
    <row r="19" spans="2:20" s="78" customFormat="1" ht="12.75">
      <c r="B19" s="78" t="s">
        <v>184</v>
      </c>
      <c r="C19" s="78" t="s">
        <v>114</v>
      </c>
      <c r="E19" s="22">
        <v>101</v>
      </c>
      <c r="F19" s="22">
        <v>543.4415843583993</v>
      </c>
      <c r="G19" s="22">
        <v>2059.3531905131745</v>
      </c>
      <c r="H19" s="22">
        <v>265024</v>
      </c>
      <c r="I19" s="22">
        <v>6947.50885</v>
      </c>
      <c r="J19" s="22">
        <v>523.7860000000001</v>
      </c>
      <c r="K19" s="22">
        <v>46027.122230809786</v>
      </c>
      <c r="L19" s="22">
        <v>7212.371731424357</v>
      </c>
      <c r="M19" s="12">
        <f t="shared" si="0"/>
        <v>328438.5835871057</v>
      </c>
      <c r="N19" s="13"/>
      <c r="R19" s="13"/>
      <c r="S19" s="13"/>
      <c r="T19" s="13"/>
    </row>
    <row r="20" spans="2:20" s="78" customFormat="1" ht="12.75">
      <c r="B20" s="79" t="s">
        <v>185</v>
      </c>
      <c r="C20" s="78" t="s">
        <v>114</v>
      </c>
      <c r="D20" s="79"/>
      <c r="E20" s="12">
        <f>SUM(E13:E19)</f>
        <v>3631</v>
      </c>
      <c r="F20" s="12">
        <f aca="true" t="shared" si="2" ref="F20:L20">SUM(F13:F19)</f>
        <v>15352.72665019553</v>
      </c>
      <c r="G20" s="12">
        <f t="shared" si="2"/>
        <v>4662.113330513174</v>
      </c>
      <c r="H20" s="12">
        <f t="shared" si="2"/>
        <v>266796.8</v>
      </c>
      <c r="I20" s="12">
        <f t="shared" si="2"/>
        <v>255592.81342004146</v>
      </c>
      <c r="J20" s="12">
        <f t="shared" si="2"/>
        <v>2628.165</v>
      </c>
      <c r="K20" s="12">
        <f t="shared" si="2"/>
        <v>176730.4180521593</v>
      </c>
      <c r="L20" s="12">
        <f t="shared" si="2"/>
        <v>7212.371731424357</v>
      </c>
      <c r="M20" s="12">
        <f t="shared" si="0"/>
        <v>732606.4081843338</v>
      </c>
      <c r="N20" s="13"/>
      <c r="R20" s="13"/>
      <c r="S20" s="13"/>
      <c r="T20" s="13"/>
    </row>
    <row r="21" spans="5:20" s="78" customFormat="1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R21" s="13"/>
      <c r="S21" s="13"/>
      <c r="T21" s="13"/>
    </row>
    <row r="22" spans="2:20" s="78" customFormat="1" ht="12.75">
      <c r="B22" s="80" t="s">
        <v>186</v>
      </c>
      <c r="C22" s="78" t="s">
        <v>114</v>
      </c>
      <c r="D22" s="80"/>
      <c r="E22" s="12">
        <f>E20+E12</f>
        <v>7720</v>
      </c>
      <c r="F22" s="12">
        <f aca="true" t="shared" si="3" ref="F22:L22">F20+F12</f>
        <v>25638.239750195527</v>
      </c>
      <c r="G22" s="12">
        <f>G20+G12</f>
        <v>16132.581160513175</v>
      </c>
      <c r="H22" s="12">
        <f t="shared" si="3"/>
        <v>441557.8</v>
      </c>
      <c r="I22" s="12">
        <f t="shared" si="3"/>
        <v>397392.07942004147</v>
      </c>
      <c r="J22" s="12">
        <f t="shared" si="3"/>
        <v>5196.978</v>
      </c>
      <c r="K22" s="12">
        <f t="shared" si="3"/>
        <v>306517.3468521593</v>
      </c>
      <c r="L22" s="12">
        <f t="shared" si="3"/>
        <v>19278.190731424358</v>
      </c>
      <c r="M22" s="12">
        <f>SUM(E22:L22)</f>
        <v>1219433.2159143337</v>
      </c>
      <c r="N22" s="13"/>
      <c r="R22" s="13"/>
      <c r="S22" s="13"/>
      <c r="T22" s="13"/>
    </row>
    <row r="23" spans="5:20" s="78" customFormat="1" ht="12.75">
      <c r="E23" s="13"/>
      <c r="F23" s="13"/>
      <c r="G23" s="13"/>
      <c r="H23" s="13"/>
      <c r="I23" s="13"/>
      <c r="J23" s="13"/>
      <c r="K23" s="13"/>
      <c r="L23" s="13"/>
      <c r="M23" s="13"/>
      <c r="N23" s="13"/>
      <c r="R23" s="13"/>
      <c r="S23" s="13"/>
      <c r="T23" s="13"/>
    </row>
    <row r="24" spans="2:20" s="78" customFormat="1" ht="12.75">
      <c r="B24" s="78" t="s">
        <v>31</v>
      </c>
      <c r="C24" s="78" t="s">
        <v>114</v>
      </c>
      <c r="E24" s="22">
        <v>52940.677704651454</v>
      </c>
      <c r="F24" s="22">
        <v>234756.31286776843</v>
      </c>
      <c r="G24" s="22">
        <v>105250.25899109957</v>
      </c>
      <c r="H24" s="22">
        <v>3319354.433777595</v>
      </c>
      <c r="I24" s="22">
        <v>3507701.8637229335</v>
      </c>
      <c r="J24" s="22">
        <v>38876.61089290598</v>
      </c>
      <c r="K24" s="22">
        <v>2443757.573687876</v>
      </c>
      <c r="L24" s="22">
        <v>175311.3482375087</v>
      </c>
      <c r="M24" s="12">
        <f>SUM(E24:L24)</f>
        <v>9877949.079882339</v>
      </c>
      <c r="N24" s="13"/>
      <c r="R24" s="13"/>
      <c r="S24" s="13"/>
      <c r="T24" s="13"/>
    </row>
    <row r="25" spans="2:20" s="78" customFormat="1" ht="12.75">
      <c r="B25" s="78" t="s">
        <v>32</v>
      </c>
      <c r="C25" s="78" t="s">
        <v>114</v>
      </c>
      <c r="E25" s="12">
        <f aca="true" t="shared" si="4" ref="E25:L25">WACC2011*E24</f>
        <v>3229.3813399837386</v>
      </c>
      <c r="F25" s="12">
        <f t="shared" si="4"/>
        <v>14320.135084933874</v>
      </c>
      <c r="G25" s="12">
        <f t="shared" si="4"/>
        <v>6420.265798457074</v>
      </c>
      <c r="H25" s="12">
        <f t="shared" si="4"/>
        <v>202480.62046043327</v>
      </c>
      <c r="I25" s="12">
        <f t="shared" si="4"/>
        <v>213969.81368709894</v>
      </c>
      <c r="J25" s="12">
        <f t="shared" si="4"/>
        <v>2371.4732644672645</v>
      </c>
      <c r="K25" s="12">
        <f t="shared" si="4"/>
        <v>149069.21199496044</v>
      </c>
      <c r="L25" s="12">
        <f t="shared" si="4"/>
        <v>10693.992242488031</v>
      </c>
      <c r="M25" s="12">
        <f>SUM(E25:L25)</f>
        <v>602554.8938728226</v>
      </c>
      <c r="N25" s="13"/>
      <c r="R25" s="13"/>
      <c r="S25" s="13"/>
      <c r="T25" s="13"/>
    </row>
    <row r="26" spans="2:20" s="78" customFormat="1" ht="12.75">
      <c r="B26" s="78" t="s">
        <v>193</v>
      </c>
      <c r="C26" s="78" t="s">
        <v>114</v>
      </c>
      <c r="E26" s="22">
        <v>2769.4497358047643</v>
      </c>
      <c r="F26" s="22">
        <v>11775.331238605955</v>
      </c>
      <c r="G26" s="22">
        <v>5734.722309200309</v>
      </c>
      <c r="H26" s="22">
        <v>152396.28975323032</v>
      </c>
      <c r="I26" s="22">
        <v>134926.5889354079</v>
      </c>
      <c r="J26" s="22">
        <v>2803.6752979406992</v>
      </c>
      <c r="K26" s="22">
        <v>103029.61520301388</v>
      </c>
      <c r="L26" s="22">
        <v>5272.451947910751</v>
      </c>
      <c r="M26" s="12">
        <f>SUM(E26:L26)</f>
        <v>418708.12442111457</v>
      </c>
      <c r="N26" s="13"/>
      <c r="R26" s="13"/>
      <c r="S26" s="13"/>
      <c r="T26" s="13"/>
    </row>
    <row r="27" spans="2:20" s="78" customFormat="1" ht="12.75">
      <c r="B27" s="80" t="s">
        <v>191</v>
      </c>
      <c r="C27" s="78" t="s">
        <v>114</v>
      </c>
      <c r="D27" s="80"/>
      <c r="E27" s="12">
        <f>E25+E26</f>
        <v>5998.831075788503</v>
      </c>
      <c r="F27" s="12">
        <f aca="true" t="shared" si="5" ref="F27:L27">F25+F26</f>
        <v>26095.46632353983</v>
      </c>
      <c r="G27" s="12">
        <f t="shared" si="5"/>
        <v>12154.988107657384</v>
      </c>
      <c r="H27" s="12">
        <f t="shared" si="5"/>
        <v>354876.9102136636</v>
      </c>
      <c r="I27" s="12">
        <f t="shared" si="5"/>
        <v>348896.40262250684</v>
      </c>
      <c r="J27" s="12">
        <f t="shared" si="5"/>
        <v>5175.148562407963</v>
      </c>
      <c r="K27" s="12">
        <f t="shared" si="5"/>
        <v>252098.82719797431</v>
      </c>
      <c r="L27" s="12">
        <f t="shared" si="5"/>
        <v>15966.444190398783</v>
      </c>
      <c r="M27" s="12">
        <f>SUM(E27:L27)</f>
        <v>1021263.0182939372</v>
      </c>
      <c r="N27" s="13"/>
      <c r="R27" s="13"/>
      <c r="S27" s="13"/>
      <c r="T27" s="13"/>
    </row>
    <row r="28" spans="5:20" s="78" customFormat="1" ht="12.75">
      <c r="E28" s="13"/>
      <c r="F28" s="13"/>
      <c r="G28" s="13"/>
      <c r="H28" s="13"/>
      <c r="I28" s="13"/>
      <c r="J28" s="13"/>
      <c r="K28" s="13"/>
      <c r="L28" s="13"/>
      <c r="M28" s="13"/>
      <c r="N28" s="13"/>
      <c r="R28" s="13"/>
      <c r="S28" s="13"/>
      <c r="T28" s="13"/>
    </row>
    <row r="29" spans="2:20" s="78" customFormat="1" ht="12.75">
      <c r="B29" s="81" t="s">
        <v>192</v>
      </c>
      <c r="C29" s="78" t="s">
        <v>114</v>
      </c>
      <c r="D29" s="81"/>
      <c r="E29" s="8">
        <f>E22+E27</f>
        <v>13718.831075788503</v>
      </c>
      <c r="F29" s="8">
        <f aca="true" t="shared" si="6" ref="F29:L29">F22+F27</f>
        <v>51733.70607373536</v>
      </c>
      <c r="G29" s="8">
        <f>G22+G27</f>
        <v>28287.56926817056</v>
      </c>
      <c r="H29" s="8">
        <f t="shared" si="6"/>
        <v>796434.7102136635</v>
      </c>
      <c r="I29" s="8">
        <f t="shared" si="6"/>
        <v>746288.4820425482</v>
      </c>
      <c r="J29" s="8">
        <f t="shared" si="6"/>
        <v>10372.126562407964</v>
      </c>
      <c r="K29" s="8">
        <f t="shared" si="6"/>
        <v>558616.1740501337</v>
      </c>
      <c r="L29" s="8">
        <f t="shared" si="6"/>
        <v>35244.63492182314</v>
      </c>
      <c r="M29" s="8">
        <f>SUM(E29:L29)</f>
        <v>2240696.234208271</v>
      </c>
      <c r="N29" s="13"/>
      <c r="R29" s="13"/>
      <c r="S29" s="13"/>
      <c r="T29" s="13"/>
    </row>
    <row r="30" spans="2:20" s="78" customFormat="1" ht="12.75">
      <c r="B30" s="76"/>
      <c r="C30" s="76"/>
      <c r="D30" s="76"/>
      <c r="E30" s="13"/>
      <c r="F30" s="13"/>
      <c r="G30" s="13"/>
      <c r="H30" s="13"/>
      <c r="I30" s="13"/>
      <c r="J30" s="13"/>
      <c r="K30" s="13"/>
      <c r="L30" s="13"/>
      <c r="M30" s="13"/>
      <c r="N30" s="13"/>
      <c r="R30" s="13"/>
      <c r="S30" s="13"/>
      <c r="T30" s="13"/>
    </row>
    <row r="31" spans="2:20" s="78" customFormat="1" ht="12.75">
      <c r="B31" s="76"/>
      <c r="C31" s="76"/>
      <c r="D31" s="76"/>
      <c r="E31" s="13"/>
      <c r="F31" s="13"/>
      <c r="G31" s="13"/>
      <c r="H31" s="13"/>
      <c r="I31" s="13"/>
      <c r="J31" s="13"/>
      <c r="K31" s="13"/>
      <c r="L31" s="13"/>
      <c r="M31" s="13"/>
      <c r="N31" s="13"/>
      <c r="R31" s="13"/>
      <c r="S31" s="13"/>
      <c r="T31" s="13"/>
    </row>
    <row r="32" spans="2:4" s="42" customFormat="1" ht="12.75">
      <c r="B32" s="83" t="s">
        <v>132</v>
      </c>
      <c r="C32" s="83"/>
      <c r="D32" s="83"/>
    </row>
    <row r="33" spans="2:20" s="78" customFormat="1" ht="12.75">
      <c r="B33" s="76"/>
      <c r="C33" s="76"/>
      <c r="D33" s="76"/>
      <c r="E33" s="13"/>
      <c r="F33" s="13"/>
      <c r="G33" s="13"/>
      <c r="H33" s="13"/>
      <c r="I33" s="13"/>
      <c r="J33" s="13"/>
      <c r="K33" s="13"/>
      <c r="L33" s="13"/>
      <c r="M33" s="13"/>
      <c r="N33" s="13"/>
      <c r="R33" s="13"/>
      <c r="S33" s="13"/>
      <c r="T33" s="13"/>
    </row>
    <row r="34" spans="2:20" s="78" customFormat="1" ht="12.75">
      <c r="B34" s="76" t="s">
        <v>194</v>
      </c>
      <c r="C34" s="76"/>
      <c r="D34" s="76"/>
      <c r="E34" s="13"/>
      <c r="F34" s="13"/>
      <c r="G34" s="13"/>
      <c r="H34" s="13"/>
      <c r="I34" s="13"/>
      <c r="J34" s="13"/>
      <c r="K34" s="13"/>
      <c r="L34" s="13"/>
      <c r="M34" s="13"/>
      <c r="N34" s="13"/>
      <c r="R34" s="13"/>
      <c r="S34" s="13"/>
      <c r="T34" s="13"/>
    </row>
    <row r="35" spans="2:20" s="78" customFormat="1" ht="12.75">
      <c r="B35" s="78" t="s">
        <v>175</v>
      </c>
      <c r="C35" s="78" t="s">
        <v>114</v>
      </c>
      <c r="E35" s="22">
        <v>3193</v>
      </c>
      <c r="F35" s="22">
        <v>4974.5052000000005</v>
      </c>
      <c r="G35" s="22">
        <v>7144.57139</v>
      </c>
      <c r="H35" s="22">
        <v>60743</v>
      </c>
      <c r="I35" s="22">
        <v>54864.384999999995</v>
      </c>
      <c r="J35" s="22">
        <v>2011.92351</v>
      </c>
      <c r="K35" s="22">
        <v>64403.313</v>
      </c>
      <c r="L35" s="22">
        <v>6584</v>
      </c>
      <c r="M35" s="12">
        <f aca="true" t="shared" si="7" ref="M35:M46">SUM(E35:L35)</f>
        <v>203918.69809999998</v>
      </c>
      <c r="N35" s="13"/>
      <c r="R35" s="13"/>
      <c r="S35" s="13"/>
      <c r="T35" s="13"/>
    </row>
    <row r="36" spans="2:20" s="78" customFormat="1" ht="12.75">
      <c r="B36" s="78" t="s">
        <v>176</v>
      </c>
      <c r="C36" s="78" t="s">
        <v>114</v>
      </c>
      <c r="E36" s="22">
        <v>1486</v>
      </c>
      <c r="F36" s="22">
        <v>5525.89738</v>
      </c>
      <c r="G36" s="22">
        <v>4189.14975</v>
      </c>
      <c r="H36" s="22">
        <v>134400</v>
      </c>
      <c r="I36" s="22">
        <v>115901.043</v>
      </c>
      <c r="J36" s="22">
        <v>890.1582908</v>
      </c>
      <c r="K36" s="22">
        <v>72814.662</v>
      </c>
      <c r="L36" s="22">
        <v>5032</v>
      </c>
      <c r="M36" s="12">
        <f t="shared" si="7"/>
        <v>340238.91042080004</v>
      </c>
      <c r="N36" s="13"/>
      <c r="R36" s="13"/>
      <c r="S36" s="13"/>
      <c r="T36" s="13"/>
    </row>
    <row r="37" spans="2:20" s="78" customFormat="1" ht="12.75">
      <c r="B37" s="78" t="s">
        <v>177</v>
      </c>
      <c r="C37" s="78" t="s">
        <v>114</v>
      </c>
      <c r="E37" s="22">
        <v>0</v>
      </c>
      <c r="F37" s="22">
        <v>13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264</v>
      </c>
      <c r="M37" s="12">
        <f t="shared" si="7"/>
        <v>277</v>
      </c>
      <c r="N37" s="13"/>
      <c r="R37" s="13"/>
      <c r="S37" s="13"/>
      <c r="T37" s="13"/>
    </row>
    <row r="38" spans="2:20" s="78" customFormat="1" ht="12.75">
      <c r="B38" s="79" t="s">
        <v>178</v>
      </c>
      <c r="C38" s="78" t="s">
        <v>114</v>
      </c>
      <c r="D38" s="79"/>
      <c r="E38" s="12">
        <f aca="true" t="shared" si="8" ref="E38:L38">SUM(E35:E37)</f>
        <v>4679</v>
      </c>
      <c r="F38" s="12">
        <f t="shared" si="8"/>
        <v>10513.402580000002</v>
      </c>
      <c r="G38" s="12">
        <f t="shared" si="8"/>
        <v>11333.72114</v>
      </c>
      <c r="H38" s="12">
        <f t="shared" si="8"/>
        <v>195143</v>
      </c>
      <c r="I38" s="12">
        <f t="shared" si="8"/>
        <v>170765.428</v>
      </c>
      <c r="J38" s="12">
        <f t="shared" si="8"/>
        <v>2902.0818008</v>
      </c>
      <c r="K38" s="12">
        <f t="shared" si="8"/>
        <v>137217.975</v>
      </c>
      <c r="L38" s="12">
        <f t="shared" si="8"/>
        <v>11880</v>
      </c>
      <c r="M38" s="12">
        <f t="shared" si="7"/>
        <v>544434.6085208</v>
      </c>
      <c r="N38" s="13"/>
      <c r="R38" s="13"/>
      <c r="S38" s="13"/>
      <c r="T38" s="13"/>
    </row>
    <row r="39" spans="2:20" s="78" customFormat="1" ht="12.75">
      <c r="B39" s="78" t="s">
        <v>179</v>
      </c>
      <c r="C39" s="78" t="s">
        <v>114</v>
      </c>
      <c r="E39" s="22">
        <v>41.142462532886086</v>
      </c>
      <c r="F39" s="22">
        <v>1906.1221381818184</v>
      </c>
      <c r="G39" s="22">
        <v>2192.6542999999997</v>
      </c>
      <c r="H39" s="22">
        <v>0</v>
      </c>
      <c r="I39" s="22">
        <v>11891.721824754924</v>
      </c>
      <c r="J39" s="22">
        <v>1362.57561409531</v>
      </c>
      <c r="K39" s="22">
        <v>82990.35799769737</v>
      </c>
      <c r="L39" s="22">
        <v>0</v>
      </c>
      <c r="M39" s="12">
        <f t="shared" si="7"/>
        <v>100384.57433726231</v>
      </c>
      <c r="N39" s="13"/>
      <c r="R39" s="13"/>
      <c r="S39" s="13"/>
      <c r="T39" s="13"/>
    </row>
    <row r="40" spans="2:20" s="78" customFormat="1" ht="12.75">
      <c r="B40" s="78" t="s">
        <v>180</v>
      </c>
      <c r="C40" s="78" t="s">
        <v>114</v>
      </c>
      <c r="E40" s="22">
        <v>3303.857537467114</v>
      </c>
      <c r="F40" s="22">
        <v>21472.298252377615</v>
      </c>
      <c r="G40" s="22">
        <v>724.83799</v>
      </c>
      <c r="H40" s="22">
        <v>0</v>
      </c>
      <c r="I40" s="22">
        <v>212107.3871719483</v>
      </c>
      <c r="J40" s="22">
        <v>854.730461052641</v>
      </c>
      <c r="K40" s="22">
        <v>44486.93021032521</v>
      </c>
      <c r="L40" s="22">
        <v>0</v>
      </c>
      <c r="M40" s="12">
        <f t="shared" si="7"/>
        <v>282950.0416231709</v>
      </c>
      <c r="N40" s="13"/>
      <c r="R40" s="13"/>
      <c r="S40" s="13"/>
      <c r="T40" s="13"/>
    </row>
    <row r="41" spans="2:20" s="78" customFormat="1" ht="12.75">
      <c r="B41" s="78" t="s">
        <v>181</v>
      </c>
      <c r="C41" s="78" t="s">
        <v>114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12">
        <f t="shared" si="7"/>
        <v>0</v>
      </c>
      <c r="N41" s="13"/>
      <c r="R41" s="13"/>
      <c r="S41" s="13"/>
      <c r="T41" s="13"/>
    </row>
    <row r="42" spans="2:20" s="78" customFormat="1" ht="12.75">
      <c r="B42" s="78" t="s">
        <v>182</v>
      </c>
      <c r="C42" s="78" t="s">
        <v>114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12">
        <f t="shared" si="7"/>
        <v>0</v>
      </c>
      <c r="N42" s="13"/>
      <c r="R42" s="13"/>
      <c r="S42" s="13"/>
      <c r="T42" s="13"/>
    </row>
    <row r="43" spans="2:20" s="78" customFormat="1" ht="12.75">
      <c r="B43" s="78" t="s">
        <v>284</v>
      </c>
      <c r="C43" s="78" t="s">
        <v>114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12">
        <f t="shared" si="7"/>
        <v>0</v>
      </c>
      <c r="N43" s="13"/>
      <c r="R43" s="13"/>
      <c r="S43" s="13"/>
      <c r="T43" s="13"/>
    </row>
    <row r="44" spans="2:20" s="78" customFormat="1" ht="12.75">
      <c r="B44" s="78" t="s">
        <v>183</v>
      </c>
      <c r="C44" s="78" t="s">
        <v>114</v>
      </c>
      <c r="E44" s="22">
        <v>0</v>
      </c>
      <c r="F44" s="22">
        <v>451.936</v>
      </c>
      <c r="G44" s="22">
        <v>0</v>
      </c>
      <c r="H44" s="22">
        <v>1673</v>
      </c>
      <c r="I44" s="22">
        <v>14310.34846000618</v>
      </c>
      <c r="J44" s="22">
        <v>0.13175</v>
      </c>
      <c r="K44" s="22">
        <v>14323.928</v>
      </c>
      <c r="L44" s="22">
        <v>25</v>
      </c>
      <c r="M44" s="12">
        <f t="shared" si="7"/>
        <v>30784.34421000618</v>
      </c>
      <c r="N44" s="13"/>
      <c r="R44" s="13"/>
      <c r="S44" s="13"/>
      <c r="T44" s="13"/>
    </row>
    <row r="45" spans="2:20" s="78" customFormat="1" ht="12.75">
      <c r="B45" s="78" t="s">
        <v>184</v>
      </c>
      <c r="C45" s="78" t="s">
        <v>114</v>
      </c>
      <c r="E45" s="22">
        <v>100</v>
      </c>
      <c r="F45" s="22">
        <v>567.8323063075749</v>
      </c>
      <c r="G45" s="22">
        <v>3535.3487671652633</v>
      </c>
      <c r="H45" s="22">
        <v>249085</v>
      </c>
      <c r="I45" s="22">
        <v>6109.4166525</v>
      </c>
      <c r="J45" s="22">
        <v>176.98260999999997</v>
      </c>
      <c r="K45" s="22">
        <v>51722.13622072096</v>
      </c>
      <c r="L45" s="22">
        <v>7492</v>
      </c>
      <c r="M45" s="12">
        <f t="shared" si="7"/>
        <v>318788.7165566938</v>
      </c>
      <c r="N45" s="13"/>
      <c r="R45" s="13"/>
      <c r="S45" s="13"/>
      <c r="T45" s="13"/>
    </row>
    <row r="46" spans="2:20" s="78" customFormat="1" ht="12.75">
      <c r="B46" s="79" t="s">
        <v>185</v>
      </c>
      <c r="C46" s="78" t="s">
        <v>114</v>
      </c>
      <c r="D46" s="79"/>
      <c r="E46" s="12">
        <f aca="true" t="shared" si="9" ref="E46:L46">SUM(E39:E45)</f>
        <v>3445</v>
      </c>
      <c r="F46" s="12">
        <f t="shared" si="9"/>
        <v>24398.188696867008</v>
      </c>
      <c r="G46" s="12">
        <f t="shared" si="9"/>
        <v>6452.841057165263</v>
      </c>
      <c r="H46" s="12">
        <f t="shared" si="9"/>
        <v>250758</v>
      </c>
      <c r="I46" s="12">
        <f t="shared" si="9"/>
        <v>244418.8741092094</v>
      </c>
      <c r="J46" s="12">
        <f t="shared" si="9"/>
        <v>2394.4204351479507</v>
      </c>
      <c r="K46" s="12">
        <f t="shared" si="9"/>
        <v>193523.35242874356</v>
      </c>
      <c r="L46" s="12">
        <f t="shared" si="9"/>
        <v>7517</v>
      </c>
      <c r="M46" s="12">
        <f t="shared" si="7"/>
        <v>732907.6767271331</v>
      </c>
      <c r="N46" s="13"/>
      <c r="R46" s="13"/>
      <c r="S46" s="13"/>
      <c r="T46" s="13"/>
    </row>
    <row r="47" spans="5:20" s="78" customFormat="1" ht="12.75">
      <c r="E47" s="13"/>
      <c r="F47" s="13"/>
      <c r="G47" s="13"/>
      <c r="H47" s="13"/>
      <c r="I47" s="13"/>
      <c r="J47" s="13"/>
      <c r="K47" s="13"/>
      <c r="L47" s="13"/>
      <c r="M47" s="13"/>
      <c r="N47" s="13"/>
      <c r="R47" s="13"/>
      <c r="S47" s="13"/>
      <c r="T47" s="13"/>
    </row>
    <row r="48" spans="2:20" s="78" customFormat="1" ht="12.75">
      <c r="B48" s="80" t="s">
        <v>199</v>
      </c>
      <c r="C48" s="78" t="s">
        <v>114</v>
      </c>
      <c r="D48" s="80"/>
      <c r="E48" s="12">
        <f>E46+E38</f>
        <v>8124</v>
      </c>
      <c r="F48" s="12">
        <f aca="true" t="shared" si="10" ref="F48:L48">F46+F38</f>
        <v>34911.59127686701</v>
      </c>
      <c r="G48" s="12">
        <f>G46+G38</f>
        <v>17786.56219716526</v>
      </c>
      <c r="H48" s="12">
        <f t="shared" si="10"/>
        <v>445901</v>
      </c>
      <c r="I48" s="12">
        <f t="shared" si="10"/>
        <v>415184.3021092094</v>
      </c>
      <c r="J48" s="12">
        <f t="shared" si="10"/>
        <v>5296.502235947951</v>
      </c>
      <c r="K48" s="12">
        <f t="shared" si="10"/>
        <v>330741.3274287436</v>
      </c>
      <c r="L48" s="12">
        <f t="shared" si="10"/>
        <v>19397</v>
      </c>
      <c r="M48" s="12">
        <f>SUM(E48:L48)</f>
        <v>1277342.2852479334</v>
      </c>
      <c r="N48" s="13"/>
      <c r="R48" s="13"/>
      <c r="S48" s="13"/>
      <c r="T48" s="13"/>
    </row>
    <row r="49" spans="5:20" s="78" customFormat="1" ht="12.75">
      <c r="E49" s="13"/>
      <c r="F49" s="13"/>
      <c r="G49" s="13"/>
      <c r="H49" s="13"/>
      <c r="I49" s="13"/>
      <c r="J49" s="13"/>
      <c r="K49" s="13"/>
      <c r="L49" s="13"/>
      <c r="M49" s="13"/>
      <c r="N49" s="13"/>
      <c r="R49" s="13"/>
      <c r="S49" s="13"/>
      <c r="T49" s="13"/>
    </row>
    <row r="50" spans="2:20" s="78" customFormat="1" ht="12.75">
      <c r="B50" s="78" t="s">
        <v>33</v>
      </c>
      <c r="C50" s="78" t="s">
        <v>114</v>
      </c>
      <c r="E50" s="22">
        <v>53050.16516041054</v>
      </c>
      <c r="F50" s="22">
        <v>245987.75277556147</v>
      </c>
      <c r="G50" s="22">
        <v>104059.45797918845</v>
      </c>
      <c r="H50" s="22">
        <v>3342664.745108782</v>
      </c>
      <c r="I50" s="22">
        <v>3514231.693854105</v>
      </c>
      <c r="J50" s="22">
        <v>38013.91966674931</v>
      </c>
      <c r="K50" s="22">
        <v>2454791.586143387</v>
      </c>
      <c r="L50" s="22">
        <v>200374.8831777958</v>
      </c>
      <c r="M50" s="12">
        <f>SUM(E50:L50)</f>
        <v>9953174.20386598</v>
      </c>
      <c r="N50" s="13"/>
      <c r="R50" s="13"/>
      <c r="S50" s="13"/>
      <c r="T50" s="13"/>
    </row>
    <row r="51" spans="2:20" s="78" customFormat="1" ht="12.75">
      <c r="B51" s="78" t="s">
        <v>34</v>
      </c>
      <c r="C51" s="78" t="s">
        <v>114</v>
      </c>
      <c r="E51" s="12">
        <f aca="true" t="shared" si="11" ref="E51:L51">WACC2011*E50</f>
        <v>3236.060074785043</v>
      </c>
      <c r="F51" s="12">
        <f t="shared" si="11"/>
        <v>15005.252919309249</v>
      </c>
      <c r="G51" s="12">
        <f t="shared" si="11"/>
        <v>6347.626936730495</v>
      </c>
      <c r="H51" s="12">
        <f t="shared" si="11"/>
        <v>203902.54945163568</v>
      </c>
      <c r="I51" s="12">
        <f t="shared" si="11"/>
        <v>214368.1333251004</v>
      </c>
      <c r="J51" s="12">
        <f t="shared" si="11"/>
        <v>2318.849099671708</v>
      </c>
      <c r="K51" s="12">
        <f t="shared" si="11"/>
        <v>149742.2867547466</v>
      </c>
      <c r="L51" s="12">
        <f t="shared" si="11"/>
        <v>12222.867873845544</v>
      </c>
      <c r="M51" s="12">
        <f>SUM(E51:L51)</f>
        <v>607143.6264358247</v>
      </c>
      <c r="N51" s="13"/>
      <c r="R51" s="13"/>
      <c r="S51" s="13"/>
      <c r="T51" s="13"/>
    </row>
    <row r="52" spans="2:20" s="78" customFormat="1" ht="12.75">
      <c r="B52" s="78" t="s">
        <v>200</v>
      </c>
      <c r="C52" s="78" t="s">
        <v>114</v>
      </c>
      <c r="E52" s="22">
        <v>2836.6820321060304</v>
      </c>
      <c r="F52" s="22">
        <v>12333.163302355668</v>
      </c>
      <c r="G52" s="22">
        <v>5893.924842786496</v>
      </c>
      <c r="H52" s="22">
        <v>157579.47026761333</v>
      </c>
      <c r="I52" s="22">
        <v>130934.59681034798</v>
      </c>
      <c r="J52" s="22">
        <v>2716.87703733753</v>
      </c>
      <c r="K52" s="22">
        <v>105277.41707611925</v>
      </c>
      <c r="L52" s="22">
        <v>5956.892935038031</v>
      </c>
      <c r="M52" s="12">
        <f>SUM(E52:L52)</f>
        <v>423529.0243037043</v>
      </c>
      <c r="N52" s="13"/>
      <c r="R52" s="13"/>
      <c r="S52" s="13"/>
      <c r="T52" s="13"/>
    </row>
    <row r="53" spans="2:20" s="78" customFormat="1" ht="12.75">
      <c r="B53" s="80" t="s">
        <v>201</v>
      </c>
      <c r="C53" s="78" t="s">
        <v>114</v>
      </c>
      <c r="D53" s="80"/>
      <c r="E53" s="12">
        <f aca="true" t="shared" si="12" ref="E53:L53">E51+E52</f>
        <v>6072.7421068910735</v>
      </c>
      <c r="F53" s="12">
        <f t="shared" si="12"/>
        <v>27338.416221664917</v>
      </c>
      <c r="G53" s="12">
        <f t="shared" si="12"/>
        <v>12241.55177951699</v>
      </c>
      <c r="H53" s="12">
        <f t="shared" si="12"/>
        <v>361482.019719249</v>
      </c>
      <c r="I53" s="12">
        <f t="shared" si="12"/>
        <v>345302.7301354484</v>
      </c>
      <c r="J53" s="12">
        <f t="shared" si="12"/>
        <v>5035.726137009238</v>
      </c>
      <c r="K53" s="12">
        <f t="shared" si="12"/>
        <v>255019.70383086585</v>
      </c>
      <c r="L53" s="12">
        <f t="shared" si="12"/>
        <v>18179.760808883577</v>
      </c>
      <c r="M53" s="12">
        <f>SUM(E53:L53)</f>
        <v>1030672.650739529</v>
      </c>
      <c r="N53" s="13"/>
      <c r="R53" s="13"/>
      <c r="S53" s="13"/>
      <c r="T53" s="13"/>
    </row>
    <row r="54" spans="5:20" s="78" customFormat="1" ht="12.75">
      <c r="E54" s="13"/>
      <c r="F54" s="13"/>
      <c r="G54" s="13"/>
      <c r="H54" s="13"/>
      <c r="I54" s="13"/>
      <c r="J54" s="13"/>
      <c r="K54" s="13"/>
      <c r="L54" s="13"/>
      <c r="M54" s="13"/>
      <c r="N54" s="13"/>
      <c r="R54" s="13"/>
      <c r="S54" s="13"/>
      <c r="T54" s="13"/>
    </row>
    <row r="55" spans="2:20" s="78" customFormat="1" ht="12.75">
      <c r="B55" s="79" t="s">
        <v>202</v>
      </c>
      <c r="C55" s="78" t="s">
        <v>114</v>
      </c>
      <c r="D55" s="79"/>
      <c r="E55" s="8">
        <f>E48+E53</f>
        <v>14196.742106891073</v>
      </c>
      <c r="F55" s="8">
        <f aca="true" t="shared" si="13" ref="F55:L55">F48+F53</f>
        <v>62250.00749853192</v>
      </c>
      <c r="G55" s="8">
        <f>G48+G53</f>
        <v>30028.113976682253</v>
      </c>
      <c r="H55" s="8">
        <f t="shared" si="13"/>
        <v>807383.019719249</v>
      </c>
      <c r="I55" s="8">
        <f t="shared" si="13"/>
        <v>760487.0322446579</v>
      </c>
      <c r="J55" s="8">
        <f t="shared" si="13"/>
        <v>10332.22837295719</v>
      </c>
      <c r="K55" s="8">
        <f t="shared" si="13"/>
        <v>585761.0312596094</v>
      </c>
      <c r="L55" s="8">
        <f t="shared" si="13"/>
        <v>37576.76080888358</v>
      </c>
      <c r="M55" s="8">
        <f>SUM(E55:L55)</f>
        <v>2308014.9359874623</v>
      </c>
      <c r="N55" s="13"/>
      <c r="R55" s="13"/>
      <c r="S55" s="13"/>
      <c r="T55" s="13"/>
    </row>
    <row r="56" spans="2:20" s="78" customFormat="1" ht="12.75">
      <c r="B56" s="76"/>
      <c r="C56" s="76"/>
      <c r="D56" s="76"/>
      <c r="E56" s="13"/>
      <c r="F56" s="13"/>
      <c r="G56" s="13"/>
      <c r="H56" s="13"/>
      <c r="I56" s="13"/>
      <c r="J56" s="13"/>
      <c r="K56" s="13"/>
      <c r="L56" s="13"/>
      <c r="M56" s="13"/>
      <c r="N56" s="13"/>
      <c r="R56" s="13"/>
      <c r="S56" s="13"/>
      <c r="T56" s="13"/>
    </row>
    <row r="57" spans="2:4" s="42" customFormat="1" ht="12.75">
      <c r="B57" s="83" t="s">
        <v>133</v>
      </c>
      <c r="C57" s="83"/>
      <c r="D57" s="83"/>
    </row>
    <row r="58" spans="2:20" s="78" customFormat="1" ht="12.75">
      <c r="B58" s="76"/>
      <c r="C58" s="76"/>
      <c r="D58" s="76"/>
      <c r="E58" s="13"/>
      <c r="F58" s="13"/>
      <c r="G58" s="13"/>
      <c r="H58" s="13"/>
      <c r="I58" s="13"/>
      <c r="J58" s="13"/>
      <c r="K58" s="13"/>
      <c r="L58" s="13"/>
      <c r="M58" s="13"/>
      <c r="N58" s="13"/>
      <c r="R58" s="13"/>
      <c r="S58" s="13"/>
      <c r="T58" s="13"/>
    </row>
    <row r="59" spans="2:20" s="78" customFormat="1" ht="12.75">
      <c r="B59" s="76" t="s">
        <v>194</v>
      </c>
      <c r="C59" s="76"/>
      <c r="D59" s="76"/>
      <c r="E59" s="13"/>
      <c r="F59" s="13"/>
      <c r="G59" s="13"/>
      <c r="H59" s="13"/>
      <c r="I59" s="13"/>
      <c r="J59" s="13"/>
      <c r="K59" s="13"/>
      <c r="L59" s="13"/>
      <c r="M59" s="13"/>
      <c r="N59" s="13"/>
      <c r="R59" s="13"/>
      <c r="S59" s="13"/>
      <c r="T59" s="13"/>
    </row>
    <row r="60" spans="2:20" s="78" customFormat="1" ht="12.75">
      <c r="B60" s="78" t="s">
        <v>196</v>
      </c>
      <c r="C60" s="78" t="s">
        <v>114</v>
      </c>
      <c r="D60" s="82"/>
      <c r="E60" s="22">
        <v>0</v>
      </c>
      <c r="F60" s="22">
        <v>3396.5827999999997</v>
      </c>
      <c r="G60" s="22">
        <v>0</v>
      </c>
      <c r="H60" s="22">
        <v>64584</v>
      </c>
      <c r="I60" s="22">
        <v>57030.134000000005</v>
      </c>
      <c r="J60" s="22">
        <v>0</v>
      </c>
      <c r="K60" s="22">
        <v>62812.682080000006</v>
      </c>
      <c r="L60" s="22">
        <v>6115.963</v>
      </c>
      <c r="M60" s="12">
        <f aca="true" t="shared" si="14" ref="M60:M73">SUM(E60:L60)</f>
        <v>193939.36188</v>
      </c>
      <c r="N60" s="13"/>
      <c r="R60" s="13"/>
      <c r="S60" s="13"/>
      <c r="T60" s="13"/>
    </row>
    <row r="61" spans="2:20" s="78" customFormat="1" ht="12.75">
      <c r="B61" s="78" t="s">
        <v>197</v>
      </c>
      <c r="C61" s="78" t="s">
        <v>114</v>
      </c>
      <c r="D61" s="82"/>
      <c r="E61" s="22">
        <v>3224</v>
      </c>
      <c r="F61" s="22">
        <v>0</v>
      </c>
      <c r="G61" s="22">
        <v>7078.593960000002</v>
      </c>
      <c r="H61" s="22">
        <v>1659</v>
      </c>
      <c r="I61" s="22">
        <v>787.689</v>
      </c>
      <c r="J61" s="22">
        <v>2030.96</v>
      </c>
      <c r="K61" s="22">
        <v>4679.13767</v>
      </c>
      <c r="L61" s="22">
        <v>756.4550300000001</v>
      </c>
      <c r="M61" s="12">
        <f t="shared" si="14"/>
        <v>20215.835660000004</v>
      </c>
      <c r="N61" s="13"/>
      <c r="R61" s="13"/>
      <c r="S61" s="13"/>
      <c r="T61" s="13"/>
    </row>
    <row r="62" spans="2:20" s="78" customFormat="1" ht="12.75">
      <c r="B62" s="78" t="s">
        <v>176</v>
      </c>
      <c r="C62" s="78" t="s">
        <v>114</v>
      </c>
      <c r="E62" s="22">
        <v>1170</v>
      </c>
      <c r="F62" s="22">
        <v>7143.192683019998</v>
      </c>
      <c r="G62" s="22">
        <v>2505.7657200000003</v>
      </c>
      <c r="H62" s="22">
        <v>139470</v>
      </c>
      <c r="I62" s="22">
        <v>125464.51199999999</v>
      </c>
      <c r="J62" s="22">
        <v>890.498</v>
      </c>
      <c r="K62" s="22">
        <v>80260.437</v>
      </c>
      <c r="L62" s="22">
        <v>4601.415</v>
      </c>
      <c r="M62" s="12">
        <f t="shared" si="14"/>
        <v>361505.82040301996</v>
      </c>
      <c r="N62" s="13"/>
      <c r="R62" s="13"/>
      <c r="S62" s="13"/>
      <c r="T62" s="13"/>
    </row>
    <row r="63" spans="2:20" s="78" customFormat="1" ht="12.75">
      <c r="B63" s="78" t="s">
        <v>177</v>
      </c>
      <c r="C63" s="78" t="s">
        <v>114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350</v>
      </c>
      <c r="M63" s="12">
        <f t="shared" si="14"/>
        <v>350</v>
      </c>
      <c r="N63" s="13"/>
      <c r="R63" s="13"/>
      <c r="S63" s="13"/>
      <c r="T63" s="13"/>
    </row>
    <row r="64" spans="2:20" s="78" customFormat="1" ht="12.75">
      <c r="B64" s="80" t="s">
        <v>178</v>
      </c>
      <c r="C64" s="78" t="s">
        <v>114</v>
      </c>
      <c r="D64" s="79"/>
      <c r="E64" s="12">
        <f aca="true" t="shared" si="15" ref="E64:L64">SUM(E60:E63)</f>
        <v>4394</v>
      </c>
      <c r="F64" s="12">
        <f t="shared" si="15"/>
        <v>10539.775483019997</v>
      </c>
      <c r="G64" s="12">
        <f t="shared" si="15"/>
        <v>9584.359680000001</v>
      </c>
      <c r="H64" s="12">
        <f t="shared" si="15"/>
        <v>205713</v>
      </c>
      <c r="I64" s="12">
        <f t="shared" si="15"/>
        <v>183282.335</v>
      </c>
      <c r="J64" s="12">
        <f t="shared" si="15"/>
        <v>2921.458</v>
      </c>
      <c r="K64" s="12">
        <f t="shared" si="15"/>
        <v>147752.25675</v>
      </c>
      <c r="L64" s="12">
        <f t="shared" si="15"/>
        <v>11823.83303</v>
      </c>
      <c r="M64" s="12">
        <f t="shared" si="14"/>
        <v>576011.0179430199</v>
      </c>
      <c r="N64" s="13"/>
      <c r="R64" s="13"/>
      <c r="S64" s="13"/>
      <c r="T64" s="13"/>
    </row>
    <row r="65" spans="2:20" s="78" customFormat="1" ht="12.75">
      <c r="B65" s="542" t="s">
        <v>179</v>
      </c>
      <c r="C65" s="78" t="s">
        <v>114</v>
      </c>
      <c r="E65" s="22">
        <v>20</v>
      </c>
      <c r="F65" s="22">
        <v>3267.3916649151315</v>
      </c>
      <c r="G65" s="22">
        <v>1914.95078</v>
      </c>
      <c r="H65" s="22">
        <v>0</v>
      </c>
      <c r="I65" s="22">
        <v>58066.71738335186</v>
      </c>
      <c r="J65" s="22">
        <v>1391.731</v>
      </c>
      <c r="K65" s="22">
        <v>97961.1079402058</v>
      </c>
      <c r="L65" s="22">
        <v>0</v>
      </c>
      <c r="M65" s="12">
        <f t="shared" si="14"/>
        <v>162621.89876847278</v>
      </c>
      <c r="N65" s="13"/>
      <c r="R65" s="13"/>
      <c r="S65" s="13"/>
      <c r="T65" s="13"/>
    </row>
    <row r="66" spans="2:20" s="78" customFormat="1" ht="12.75">
      <c r="B66" s="542" t="s">
        <v>180</v>
      </c>
      <c r="C66" s="78" t="s">
        <v>114</v>
      </c>
      <c r="E66" s="22">
        <v>3511</v>
      </c>
      <c r="F66" s="22">
        <v>22212.96061385616</v>
      </c>
      <c r="G66" s="22">
        <v>784.2928200000001</v>
      </c>
      <c r="H66" s="22">
        <v>0</v>
      </c>
      <c r="I66" s="22">
        <v>185942.94309384766</v>
      </c>
      <c r="J66" s="22">
        <v>763.29</v>
      </c>
      <c r="K66" s="22">
        <v>42089.4377823699</v>
      </c>
      <c r="L66" s="22">
        <v>0</v>
      </c>
      <c r="M66" s="12">
        <f t="shared" si="14"/>
        <v>255303.92431007372</v>
      </c>
      <c r="N66" s="13"/>
      <c r="R66" s="13"/>
      <c r="S66" s="13"/>
      <c r="T66" s="13"/>
    </row>
    <row r="67" spans="2:20" s="78" customFormat="1" ht="12.75">
      <c r="B67" s="542" t="s">
        <v>181</v>
      </c>
      <c r="C67" s="78" t="s">
        <v>114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12">
        <f t="shared" si="14"/>
        <v>0</v>
      </c>
      <c r="N67" s="13"/>
      <c r="R67" s="13"/>
      <c r="S67" s="13"/>
      <c r="T67" s="13"/>
    </row>
    <row r="68" spans="2:20" s="78" customFormat="1" ht="12.75">
      <c r="B68" s="542" t="s">
        <v>182</v>
      </c>
      <c r="C68" s="78" t="s">
        <v>114</v>
      </c>
      <c r="E68" s="22"/>
      <c r="F68" s="22"/>
      <c r="G68" s="22"/>
      <c r="H68" s="22"/>
      <c r="I68" s="22"/>
      <c r="J68" s="22"/>
      <c r="K68" s="22"/>
      <c r="L68" s="22"/>
      <c r="M68" s="12">
        <f t="shared" si="14"/>
        <v>0</v>
      </c>
      <c r="N68" s="13"/>
      <c r="R68" s="13"/>
      <c r="S68" s="13"/>
      <c r="T68" s="13"/>
    </row>
    <row r="69" spans="2:20" s="78" customFormat="1" ht="12.75">
      <c r="B69" s="542" t="s">
        <v>284</v>
      </c>
      <c r="C69" s="78" t="s">
        <v>114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12">
        <f t="shared" si="14"/>
        <v>0</v>
      </c>
      <c r="N69" s="13"/>
      <c r="R69" s="13"/>
      <c r="S69" s="13"/>
      <c r="T69" s="13"/>
    </row>
    <row r="70" spans="2:20" s="78" customFormat="1" ht="12.75">
      <c r="B70" s="542" t="s">
        <v>183</v>
      </c>
      <c r="C70" s="78" t="s">
        <v>114</v>
      </c>
      <c r="E70" s="22">
        <v>0</v>
      </c>
      <c r="F70" s="22">
        <v>482.726</v>
      </c>
      <c r="G70" s="22">
        <v>0</v>
      </c>
      <c r="H70" s="22">
        <v>1677</v>
      </c>
      <c r="I70" s="22">
        <v>14012</v>
      </c>
      <c r="J70" s="22">
        <v>0.1499</v>
      </c>
      <c r="K70" s="22">
        <v>14761.361</v>
      </c>
      <c r="L70" s="22">
        <v>13</v>
      </c>
      <c r="M70" s="12">
        <f t="shared" si="14"/>
        <v>30946.236900000004</v>
      </c>
      <c r="N70" s="13"/>
      <c r="R70" s="13"/>
      <c r="S70" s="13"/>
      <c r="T70" s="13"/>
    </row>
    <row r="71" spans="2:20" s="78" customFormat="1" ht="12.75">
      <c r="B71" s="542" t="s">
        <v>198</v>
      </c>
      <c r="C71" s="78" t="s">
        <v>114</v>
      </c>
      <c r="D71" s="82"/>
      <c r="E71" s="22">
        <v>0</v>
      </c>
      <c r="F71" s="22">
        <v>1.4666091773348915</v>
      </c>
      <c r="G71" s="22">
        <v>228.188337825</v>
      </c>
      <c r="H71" s="22">
        <v>14584</v>
      </c>
      <c r="I71" s="22">
        <v>0</v>
      </c>
      <c r="J71" s="22">
        <v>19.881</v>
      </c>
      <c r="K71" s="22">
        <v>404.6035524264206</v>
      </c>
      <c r="L71" s="22">
        <v>0</v>
      </c>
      <c r="M71" s="12">
        <f t="shared" si="14"/>
        <v>15238.139499428755</v>
      </c>
      <c r="N71" s="13"/>
      <c r="R71" s="13"/>
      <c r="S71" s="13"/>
      <c r="T71" s="13"/>
    </row>
    <row r="72" spans="2:20" s="78" customFormat="1" ht="12.75">
      <c r="B72" s="542" t="s">
        <v>184</v>
      </c>
      <c r="C72" s="78" t="s">
        <v>114</v>
      </c>
      <c r="E72" s="22">
        <v>172</v>
      </c>
      <c r="F72" s="22">
        <v>420.40943151862973</v>
      </c>
      <c r="G72" s="22">
        <v>3256.063996837209</v>
      </c>
      <c r="H72" s="22">
        <f>248262-18300</f>
        <v>229962</v>
      </c>
      <c r="I72" s="22">
        <f>6659.23781050482-8300</f>
        <v>-1640.7621894951799</v>
      </c>
      <c r="J72" s="22">
        <v>365.873</v>
      </c>
      <c r="K72" s="22">
        <v>57722.8446972357</v>
      </c>
      <c r="L72" s="22">
        <v>7106.591</v>
      </c>
      <c r="M72" s="12">
        <f t="shared" si="14"/>
        <v>297365.0199360964</v>
      </c>
      <c r="N72" s="13"/>
      <c r="R72" s="13"/>
      <c r="S72" s="13"/>
      <c r="T72" s="13"/>
    </row>
    <row r="73" spans="2:20" s="78" customFormat="1" ht="12.75">
      <c r="B73" s="80" t="s">
        <v>185</v>
      </c>
      <c r="C73" s="78" t="s">
        <v>114</v>
      </c>
      <c r="D73" s="79"/>
      <c r="E73" s="12">
        <f>SUM(E65:E72)</f>
        <v>3703</v>
      </c>
      <c r="F73" s="12">
        <f aca="true" t="shared" si="16" ref="F73:L73">SUM(F65:F72)</f>
        <v>26384.95431946726</v>
      </c>
      <c r="G73" s="12">
        <f t="shared" si="16"/>
        <v>6183.495934662209</v>
      </c>
      <c r="H73" s="12">
        <f t="shared" si="16"/>
        <v>246223</v>
      </c>
      <c r="I73" s="12">
        <f t="shared" si="16"/>
        <v>256380.89828770436</v>
      </c>
      <c r="J73" s="12">
        <f t="shared" si="16"/>
        <v>2540.9248999999995</v>
      </c>
      <c r="K73" s="12">
        <f t="shared" si="16"/>
        <v>212939.3549722378</v>
      </c>
      <c r="L73" s="12">
        <f t="shared" si="16"/>
        <v>7119.591</v>
      </c>
      <c r="M73" s="12">
        <f t="shared" si="14"/>
        <v>761475.2194140716</v>
      </c>
      <c r="N73" s="13"/>
      <c r="R73" s="13"/>
      <c r="S73" s="13"/>
      <c r="T73" s="13"/>
    </row>
    <row r="74" spans="2:20" s="78" customFormat="1" ht="12.75">
      <c r="B74" s="542"/>
      <c r="E74" s="13"/>
      <c r="F74" s="13"/>
      <c r="G74" s="13"/>
      <c r="H74" s="13"/>
      <c r="I74" s="13"/>
      <c r="J74" s="13"/>
      <c r="K74" s="13"/>
      <c r="L74" s="13"/>
      <c r="M74" s="13"/>
      <c r="N74" s="13"/>
      <c r="R74" s="13"/>
      <c r="S74" s="13"/>
      <c r="T74" s="13"/>
    </row>
    <row r="75" spans="2:20" s="78" customFormat="1" ht="12.75">
      <c r="B75" s="80" t="s">
        <v>203</v>
      </c>
      <c r="C75" s="78" t="s">
        <v>114</v>
      </c>
      <c r="D75" s="80"/>
      <c r="E75" s="12">
        <f>E73+E64</f>
        <v>8097</v>
      </c>
      <c r="F75" s="12">
        <f aca="true" t="shared" si="17" ref="F75:L75">F73+F64</f>
        <v>36924.72980248726</v>
      </c>
      <c r="G75" s="12">
        <f>G73+G64</f>
        <v>15767.85561466221</v>
      </c>
      <c r="H75" s="12">
        <f t="shared" si="17"/>
        <v>451936</v>
      </c>
      <c r="I75" s="12">
        <f t="shared" si="17"/>
        <v>439663.23328770435</v>
      </c>
      <c r="J75" s="12">
        <f t="shared" si="17"/>
        <v>5462.3829</v>
      </c>
      <c r="K75" s="12">
        <f t="shared" si="17"/>
        <v>360691.6117222378</v>
      </c>
      <c r="L75" s="12">
        <f t="shared" si="17"/>
        <v>18943.424030000002</v>
      </c>
      <c r="M75" s="12">
        <f>SUM(E75:L75)</f>
        <v>1337486.2373570916</v>
      </c>
      <c r="N75" s="13"/>
      <c r="R75" s="13"/>
      <c r="S75" s="13"/>
      <c r="T75" s="13"/>
    </row>
    <row r="76" spans="2:20" s="78" customFormat="1" ht="12.75">
      <c r="B76" s="542"/>
      <c r="E76" s="13"/>
      <c r="F76" s="13"/>
      <c r="G76" s="13"/>
      <c r="H76" s="13"/>
      <c r="I76" s="13"/>
      <c r="J76" s="13"/>
      <c r="K76" s="13"/>
      <c r="L76" s="13"/>
      <c r="M76" s="13"/>
      <c r="N76" s="13"/>
      <c r="R76" s="13"/>
      <c r="S76" s="13"/>
      <c r="T76" s="13"/>
    </row>
    <row r="77" spans="2:20" s="78" customFormat="1" ht="12.75">
      <c r="B77" s="542" t="s">
        <v>35</v>
      </c>
      <c r="C77" s="78" t="s">
        <v>114</v>
      </c>
      <c r="E77" s="22">
        <v>53100.96173271585</v>
      </c>
      <c r="F77" s="22">
        <v>205766.76468621386</v>
      </c>
      <c r="G77" s="22">
        <v>103007.42200931127</v>
      </c>
      <c r="H77" s="22">
        <v>3077164.5424461057</v>
      </c>
      <c r="I77" s="22">
        <v>3107248.070122296</v>
      </c>
      <c r="J77" s="22">
        <v>39244.40809717679</v>
      </c>
      <c r="K77" s="22">
        <v>2508245.2356255734</v>
      </c>
      <c r="L77" s="22">
        <v>203592.29184899473</v>
      </c>
      <c r="M77" s="12">
        <f>SUM(E77:L77)</f>
        <v>9297369.696568388</v>
      </c>
      <c r="N77" s="13"/>
      <c r="R77" s="13"/>
      <c r="S77" s="13"/>
      <c r="T77" s="13"/>
    </row>
    <row r="78" spans="2:20" s="78" customFormat="1" ht="12.75">
      <c r="B78" s="542" t="s">
        <v>36</v>
      </c>
      <c r="C78" s="78" t="s">
        <v>114</v>
      </c>
      <c r="E78" s="12">
        <f aca="true" t="shared" si="18" ref="E78:L78">WACC2011*E77</f>
        <v>3239.1586656956665</v>
      </c>
      <c r="F78" s="12">
        <f t="shared" si="18"/>
        <v>12551.772645859046</v>
      </c>
      <c r="G78" s="12">
        <f t="shared" si="18"/>
        <v>6283.452742567987</v>
      </c>
      <c r="H78" s="12">
        <f t="shared" si="18"/>
        <v>187707.03708921245</v>
      </c>
      <c r="I78" s="12">
        <f t="shared" si="18"/>
        <v>189542.13227746004</v>
      </c>
      <c r="J78" s="12">
        <f t="shared" si="18"/>
        <v>2393.908893927784</v>
      </c>
      <c r="K78" s="12">
        <f t="shared" si="18"/>
        <v>153002.95937315997</v>
      </c>
      <c r="L78" s="12">
        <f t="shared" si="18"/>
        <v>12419.129802788679</v>
      </c>
      <c r="M78" s="12">
        <f>SUM(E78:L78)</f>
        <v>567139.5514906716</v>
      </c>
      <c r="N78" s="13"/>
      <c r="R78" s="13"/>
      <c r="S78" s="13"/>
      <c r="T78" s="13"/>
    </row>
    <row r="79" spans="2:20" s="78" customFormat="1" ht="12.75">
      <c r="B79" s="542" t="s">
        <v>204</v>
      </c>
      <c r="C79" s="78" t="s">
        <v>114</v>
      </c>
      <c r="E79" s="22">
        <v>2915.7552444591965</v>
      </c>
      <c r="F79" s="22">
        <v>10278.336251463006</v>
      </c>
      <c r="G79" s="22">
        <v>6074.348910148245</v>
      </c>
      <c r="H79" s="22">
        <v>150027.71743841117</v>
      </c>
      <c r="I79" s="22">
        <v>126527.05837638615</v>
      </c>
      <c r="J79" s="22">
        <v>2836.7829538434125</v>
      </c>
      <c r="K79" s="22">
        <v>108922.4673403909</v>
      </c>
      <c r="L79" s="22">
        <v>6443.445043756784</v>
      </c>
      <c r="M79" s="12">
        <f>SUM(E79:L79)</f>
        <v>414025.9115588589</v>
      </c>
      <c r="N79" s="13"/>
      <c r="R79" s="13"/>
      <c r="S79" s="13"/>
      <c r="T79" s="13"/>
    </row>
    <row r="80" spans="2:20" s="78" customFormat="1" ht="12.75">
      <c r="B80" s="80" t="s">
        <v>205</v>
      </c>
      <c r="C80" s="78" t="s">
        <v>114</v>
      </c>
      <c r="D80" s="80"/>
      <c r="E80" s="12">
        <f aca="true" t="shared" si="19" ref="E80:L80">E78+E79</f>
        <v>6154.913910154863</v>
      </c>
      <c r="F80" s="12">
        <f t="shared" si="19"/>
        <v>22830.108897322054</v>
      </c>
      <c r="G80" s="12">
        <f t="shared" si="19"/>
        <v>12357.801652716233</v>
      </c>
      <c r="H80" s="12">
        <f t="shared" si="19"/>
        <v>337734.75452762365</v>
      </c>
      <c r="I80" s="12">
        <f t="shared" si="19"/>
        <v>316069.1906538462</v>
      </c>
      <c r="J80" s="12">
        <f t="shared" si="19"/>
        <v>5230.691847771197</v>
      </c>
      <c r="K80" s="12">
        <f t="shared" si="19"/>
        <v>261925.42671355087</v>
      </c>
      <c r="L80" s="12">
        <f t="shared" si="19"/>
        <v>18862.574846545464</v>
      </c>
      <c r="M80" s="12">
        <f>SUM(E80:L80)</f>
        <v>981165.4630495305</v>
      </c>
      <c r="N80" s="13"/>
      <c r="R80" s="13"/>
      <c r="S80" s="13"/>
      <c r="T80" s="13"/>
    </row>
    <row r="81" spans="5:20" s="78" customFormat="1" ht="12.75">
      <c r="E81" s="13"/>
      <c r="F81" s="13"/>
      <c r="G81" s="13"/>
      <c r="H81" s="13"/>
      <c r="I81" s="13"/>
      <c r="J81" s="13"/>
      <c r="K81" s="13"/>
      <c r="L81" s="13"/>
      <c r="M81" s="13"/>
      <c r="N81" s="13"/>
      <c r="R81" s="13"/>
      <c r="S81" s="13"/>
      <c r="T81" s="13"/>
    </row>
    <row r="82" spans="2:20" s="78" customFormat="1" ht="12.75">
      <c r="B82" s="79" t="s">
        <v>206</v>
      </c>
      <c r="C82" s="78" t="s">
        <v>114</v>
      </c>
      <c r="D82" s="79"/>
      <c r="E82" s="8">
        <f>E75+E80</f>
        <v>14251.913910154863</v>
      </c>
      <c r="F82" s="8">
        <f aca="true" t="shared" si="20" ref="F82:L82">F75+F80</f>
        <v>59754.83869980931</v>
      </c>
      <c r="G82" s="8">
        <f>G75+G80</f>
        <v>28125.657267378443</v>
      </c>
      <c r="H82" s="8">
        <f t="shared" si="20"/>
        <v>789670.7545276236</v>
      </c>
      <c r="I82" s="8">
        <f t="shared" si="20"/>
        <v>755732.4239415505</v>
      </c>
      <c r="J82" s="8">
        <f t="shared" si="20"/>
        <v>10693.074747771196</v>
      </c>
      <c r="K82" s="8">
        <f t="shared" si="20"/>
        <v>622617.0384357886</v>
      </c>
      <c r="L82" s="8">
        <f t="shared" si="20"/>
        <v>37805.99887654546</v>
      </c>
      <c r="M82" s="8">
        <f>SUM(E82:L82)</f>
        <v>2318651.700406622</v>
      </c>
      <c r="N82" s="13"/>
      <c r="R82" s="13"/>
      <c r="S82" s="13"/>
      <c r="T82" s="13"/>
    </row>
    <row r="83" spans="2:20" s="78" customFormat="1" ht="12.75">
      <c r="B83" s="76"/>
      <c r="C83" s="76"/>
      <c r="D83" s="76"/>
      <c r="E83" s="13"/>
      <c r="F83" s="13"/>
      <c r="G83" s="13"/>
      <c r="H83" s="13"/>
      <c r="I83" s="13"/>
      <c r="J83" s="13"/>
      <c r="K83" s="13"/>
      <c r="L83" s="13"/>
      <c r="M83" s="13"/>
      <c r="N83" s="13"/>
      <c r="R83" s="13"/>
      <c r="S83" s="13"/>
      <c r="T83" s="13"/>
    </row>
    <row r="84" spans="2:4" s="42" customFormat="1" ht="12.75">
      <c r="B84" s="83" t="s">
        <v>134</v>
      </c>
      <c r="C84" s="83"/>
      <c r="D84" s="83"/>
    </row>
    <row r="85" spans="2:20" s="78" customFormat="1" ht="12.75">
      <c r="B85" s="104"/>
      <c r="C85" s="104"/>
      <c r="D85" s="104"/>
      <c r="E85" s="13"/>
      <c r="F85" s="13"/>
      <c r="G85" s="13"/>
      <c r="H85" s="13"/>
      <c r="I85" s="13"/>
      <c r="J85" s="13"/>
      <c r="K85" s="13"/>
      <c r="L85" s="13"/>
      <c r="M85" s="13"/>
      <c r="N85" s="13"/>
      <c r="R85" s="13"/>
      <c r="S85" s="13"/>
      <c r="T85" s="13"/>
    </row>
    <row r="86" spans="2:20" s="78" customFormat="1" ht="12.75">
      <c r="B86" s="76" t="s">
        <v>194</v>
      </c>
      <c r="C86" s="76"/>
      <c r="D86" s="76"/>
      <c r="E86" s="13"/>
      <c r="F86" s="13"/>
      <c r="G86" s="13"/>
      <c r="H86" s="13"/>
      <c r="I86" s="13"/>
      <c r="J86" s="13"/>
      <c r="K86" s="13"/>
      <c r="L86" s="13"/>
      <c r="M86" s="13"/>
      <c r="N86" s="13"/>
      <c r="R86" s="13"/>
      <c r="S86" s="13"/>
      <c r="T86" s="13"/>
    </row>
    <row r="87" spans="2:20" s="78" customFormat="1" ht="12.75">
      <c r="B87" s="542" t="s">
        <v>196</v>
      </c>
      <c r="C87" s="78" t="s">
        <v>114</v>
      </c>
      <c r="D87" s="82"/>
      <c r="E87" s="22">
        <v>1</v>
      </c>
      <c r="F87" s="22">
        <v>1</v>
      </c>
      <c r="G87" s="22">
        <v>1</v>
      </c>
      <c r="H87" s="22">
        <v>1</v>
      </c>
      <c r="I87" s="22">
        <v>1</v>
      </c>
      <c r="J87" s="22">
        <v>1</v>
      </c>
      <c r="K87" s="22">
        <v>1</v>
      </c>
      <c r="L87" s="22">
        <v>1</v>
      </c>
      <c r="M87" s="12">
        <f aca="true" t="shared" si="21" ref="M87:M100">SUM(E87:L87)</f>
        <v>8</v>
      </c>
      <c r="N87" s="13"/>
      <c r="R87" s="13"/>
      <c r="S87" s="13"/>
      <c r="T87" s="13"/>
    </row>
    <row r="88" spans="2:20" s="78" customFormat="1" ht="12.75">
      <c r="B88" s="542" t="s">
        <v>197</v>
      </c>
      <c r="C88" s="78" t="s">
        <v>114</v>
      </c>
      <c r="D88" s="82"/>
      <c r="E88" s="22">
        <v>1</v>
      </c>
      <c r="F88" s="22">
        <v>1</v>
      </c>
      <c r="G88" s="22">
        <v>1</v>
      </c>
      <c r="H88" s="22">
        <v>1</v>
      </c>
      <c r="I88" s="22">
        <v>1</v>
      </c>
      <c r="J88" s="22">
        <v>1</v>
      </c>
      <c r="K88" s="22">
        <v>1</v>
      </c>
      <c r="L88" s="22">
        <v>1</v>
      </c>
      <c r="M88" s="12">
        <f t="shared" si="21"/>
        <v>8</v>
      </c>
      <c r="N88" s="13"/>
      <c r="R88" s="13"/>
      <c r="S88" s="13"/>
      <c r="T88" s="13"/>
    </row>
    <row r="89" spans="2:20" s="78" customFormat="1" ht="12.75">
      <c r="B89" s="542" t="s">
        <v>176</v>
      </c>
      <c r="C89" s="78" t="s">
        <v>114</v>
      </c>
      <c r="E89" s="22">
        <v>1</v>
      </c>
      <c r="F89" s="22">
        <v>1</v>
      </c>
      <c r="G89" s="22">
        <v>1</v>
      </c>
      <c r="H89" s="22">
        <v>1</v>
      </c>
      <c r="I89" s="22">
        <v>1</v>
      </c>
      <c r="J89" s="22">
        <v>1</v>
      </c>
      <c r="K89" s="22">
        <v>1</v>
      </c>
      <c r="L89" s="22">
        <v>1</v>
      </c>
      <c r="M89" s="12">
        <f t="shared" si="21"/>
        <v>8</v>
      </c>
      <c r="N89" s="13"/>
      <c r="R89" s="13"/>
      <c r="S89" s="13"/>
      <c r="T89" s="13"/>
    </row>
    <row r="90" spans="2:20" s="78" customFormat="1" ht="12.75">
      <c r="B90" s="78" t="s">
        <v>177</v>
      </c>
      <c r="C90" s="78" t="s">
        <v>114</v>
      </c>
      <c r="E90" s="22">
        <v>1</v>
      </c>
      <c r="F90" s="22">
        <v>1</v>
      </c>
      <c r="G90" s="22">
        <v>1</v>
      </c>
      <c r="H90" s="22">
        <v>1</v>
      </c>
      <c r="I90" s="22">
        <v>1</v>
      </c>
      <c r="J90" s="22">
        <v>1</v>
      </c>
      <c r="K90" s="22">
        <v>1</v>
      </c>
      <c r="L90" s="22">
        <v>1</v>
      </c>
      <c r="M90" s="12">
        <f t="shared" si="21"/>
        <v>8</v>
      </c>
      <c r="N90" s="13"/>
      <c r="R90" s="13"/>
      <c r="S90" s="13"/>
      <c r="T90" s="13"/>
    </row>
    <row r="91" spans="2:20" s="78" customFormat="1" ht="12.75">
      <c r="B91" s="79" t="s">
        <v>178</v>
      </c>
      <c r="C91" s="78" t="s">
        <v>114</v>
      </c>
      <c r="D91" s="79"/>
      <c r="E91" s="12">
        <f>SUM(E87:E90)</f>
        <v>4</v>
      </c>
      <c r="F91" s="12">
        <f aca="true" t="shared" si="22" ref="F91:L91">SUM(F87:F90)</f>
        <v>4</v>
      </c>
      <c r="G91" s="12">
        <f t="shared" si="22"/>
        <v>4</v>
      </c>
      <c r="H91" s="12">
        <f t="shared" si="22"/>
        <v>4</v>
      </c>
      <c r="I91" s="12">
        <f t="shared" si="22"/>
        <v>4</v>
      </c>
      <c r="J91" s="12">
        <f t="shared" si="22"/>
        <v>4</v>
      </c>
      <c r="K91" s="12">
        <f t="shared" si="22"/>
        <v>4</v>
      </c>
      <c r="L91" s="12">
        <f t="shared" si="22"/>
        <v>4</v>
      </c>
      <c r="M91" s="12">
        <f t="shared" si="21"/>
        <v>32</v>
      </c>
      <c r="N91" s="13"/>
      <c r="R91" s="13"/>
      <c r="S91" s="13"/>
      <c r="T91" s="13"/>
    </row>
    <row r="92" spans="2:20" s="78" customFormat="1" ht="12.75">
      <c r="B92" s="78" t="s">
        <v>179</v>
      </c>
      <c r="C92" s="78" t="s">
        <v>114</v>
      </c>
      <c r="E92" s="22">
        <v>1</v>
      </c>
      <c r="F92" s="22">
        <v>1</v>
      </c>
      <c r="G92" s="22">
        <v>1</v>
      </c>
      <c r="H92" s="22">
        <v>1</v>
      </c>
      <c r="I92" s="22">
        <v>1</v>
      </c>
      <c r="J92" s="22">
        <v>1</v>
      </c>
      <c r="K92" s="22">
        <v>1</v>
      </c>
      <c r="L92" s="22">
        <v>1</v>
      </c>
      <c r="M92" s="12">
        <f t="shared" si="21"/>
        <v>8</v>
      </c>
      <c r="N92" s="13"/>
      <c r="R92" s="13"/>
      <c r="S92" s="13"/>
      <c r="T92" s="13"/>
    </row>
    <row r="93" spans="2:20" s="78" customFormat="1" ht="12.75">
      <c r="B93" s="78" t="s">
        <v>180</v>
      </c>
      <c r="C93" s="78" t="s">
        <v>114</v>
      </c>
      <c r="E93" s="22">
        <v>1</v>
      </c>
      <c r="F93" s="22">
        <v>1</v>
      </c>
      <c r="G93" s="22">
        <v>1</v>
      </c>
      <c r="H93" s="22">
        <v>1</v>
      </c>
      <c r="I93" s="22">
        <v>1</v>
      </c>
      <c r="J93" s="22">
        <v>1</v>
      </c>
      <c r="K93" s="22">
        <v>1</v>
      </c>
      <c r="L93" s="22">
        <v>1</v>
      </c>
      <c r="M93" s="12">
        <f t="shared" si="21"/>
        <v>8</v>
      </c>
      <c r="N93" s="13"/>
      <c r="R93" s="13"/>
      <c r="S93" s="13"/>
      <c r="T93" s="13"/>
    </row>
    <row r="94" spans="2:20" s="78" customFormat="1" ht="12.75">
      <c r="B94" s="78" t="s">
        <v>181</v>
      </c>
      <c r="C94" s="78" t="s">
        <v>114</v>
      </c>
      <c r="E94" s="22">
        <v>1</v>
      </c>
      <c r="F94" s="22">
        <v>1</v>
      </c>
      <c r="G94" s="22">
        <v>1</v>
      </c>
      <c r="H94" s="22">
        <v>1</v>
      </c>
      <c r="I94" s="22">
        <v>1</v>
      </c>
      <c r="J94" s="22">
        <v>1</v>
      </c>
      <c r="K94" s="22">
        <v>1</v>
      </c>
      <c r="L94" s="22">
        <v>1</v>
      </c>
      <c r="M94" s="12">
        <f t="shared" si="21"/>
        <v>8</v>
      </c>
      <c r="N94" s="13"/>
      <c r="R94" s="13"/>
      <c r="S94" s="13"/>
      <c r="T94" s="13"/>
    </row>
    <row r="95" spans="2:20" s="78" customFormat="1" ht="12.75">
      <c r="B95" s="78" t="s">
        <v>182</v>
      </c>
      <c r="C95" s="78" t="s">
        <v>114</v>
      </c>
      <c r="E95" s="22">
        <v>1</v>
      </c>
      <c r="F95" s="22">
        <v>1</v>
      </c>
      <c r="G95" s="22">
        <v>1</v>
      </c>
      <c r="H95" s="22">
        <v>1</v>
      </c>
      <c r="I95" s="22">
        <v>1</v>
      </c>
      <c r="J95" s="22">
        <v>1</v>
      </c>
      <c r="K95" s="22">
        <v>1</v>
      </c>
      <c r="L95" s="22">
        <v>1</v>
      </c>
      <c r="M95" s="12">
        <f t="shared" si="21"/>
        <v>8</v>
      </c>
      <c r="N95" s="13"/>
      <c r="R95" s="13"/>
      <c r="S95" s="13"/>
      <c r="T95" s="13"/>
    </row>
    <row r="96" spans="2:20" s="78" customFormat="1" ht="12.75">
      <c r="B96" s="78" t="s">
        <v>284</v>
      </c>
      <c r="C96" s="78" t="s">
        <v>114</v>
      </c>
      <c r="E96" s="22">
        <v>1</v>
      </c>
      <c r="F96" s="22">
        <v>1</v>
      </c>
      <c r="G96" s="22">
        <v>1</v>
      </c>
      <c r="H96" s="22">
        <v>1</v>
      </c>
      <c r="I96" s="22">
        <v>1</v>
      </c>
      <c r="J96" s="22">
        <v>1</v>
      </c>
      <c r="K96" s="22">
        <v>1</v>
      </c>
      <c r="L96" s="22">
        <v>1</v>
      </c>
      <c r="M96" s="12">
        <f t="shared" si="21"/>
        <v>8</v>
      </c>
      <c r="N96" s="13"/>
      <c r="R96" s="13"/>
      <c r="S96" s="13"/>
      <c r="T96" s="13"/>
    </row>
    <row r="97" spans="2:20" s="78" customFormat="1" ht="12.75">
      <c r="B97" s="78" t="s">
        <v>183</v>
      </c>
      <c r="C97" s="78" t="s">
        <v>114</v>
      </c>
      <c r="E97" s="22">
        <v>1</v>
      </c>
      <c r="F97" s="22">
        <v>1</v>
      </c>
      <c r="G97" s="22">
        <v>1</v>
      </c>
      <c r="H97" s="22">
        <v>1</v>
      </c>
      <c r="I97" s="22">
        <v>1</v>
      </c>
      <c r="J97" s="22">
        <v>1</v>
      </c>
      <c r="K97" s="22">
        <v>1</v>
      </c>
      <c r="L97" s="22">
        <v>1</v>
      </c>
      <c r="M97" s="12">
        <f t="shared" si="21"/>
        <v>8</v>
      </c>
      <c r="N97" s="13"/>
      <c r="R97" s="13"/>
      <c r="S97" s="13"/>
      <c r="T97" s="13"/>
    </row>
    <row r="98" spans="2:20" s="78" customFormat="1" ht="12.75">
      <c r="B98" s="78" t="s">
        <v>198</v>
      </c>
      <c r="C98" s="78" t="s">
        <v>114</v>
      </c>
      <c r="D98" s="82"/>
      <c r="E98" s="22">
        <v>1</v>
      </c>
      <c r="F98" s="22">
        <v>1</v>
      </c>
      <c r="G98" s="22">
        <v>1</v>
      </c>
      <c r="H98" s="22">
        <v>1</v>
      </c>
      <c r="I98" s="22">
        <v>1</v>
      </c>
      <c r="J98" s="22">
        <v>1</v>
      </c>
      <c r="K98" s="22">
        <v>1</v>
      </c>
      <c r="L98" s="22">
        <v>1</v>
      </c>
      <c r="M98" s="12">
        <f t="shared" si="21"/>
        <v>8</v>
      </c>
      <c r="N98" s="13"/>
      <c r="R98" s="13"/>
      <c r="S98" s="13"/>
      <c r="T98" s="13"/>
    </row>
    <row r="99" spans="2:20" s="78" customFormat="1" ht="12.75">
      <c r="B99" s="78" t="s">
        <v>184</v>
      </c>
      <c r="C99" s="78" t="s">
        <v>114</v>
      </c>
      <c r="E99" s="22">
        <v>1</v>
      </c>
      <c r="F99" s="22">
        <v>1</v>
      </c>
      <c r="G99" s="22">
        <v>1</v>
      </c>
      <c r="H99" s="22">
        <v>1</v>
      </c>
      <c r="I99" s="22">
        <v>1</v>
      </c>
      <c r="J99" s="22">
        <v>1</v>
      </c>
      <c r="K99" s="22">
        <v>1</v>
      </c>
      <c r="L99" s="22">
        <v>1</v>
      </c>
      <c r="M99" s="12">
        <f t="shared" si="21"/>
        <v>8</v>
      </c>
      <c r="N99" s="13"/>
      <c r="R99" s="13"/>
      <c r="S99" s="13"/>
      <c r="T99" s="13"/>
    </row>
    <row r="100" spans="2:20" s="78" customFormat="1" ht="12.75">
      <c r="B100" s="79" t="s">
        <v>185</v>
      </c>
      <c r="C100" s="78" t="s">
        <v>114</v>
      </c>
      <c r="D100" s="79"/>
      <c r="E100" s="12">
        <f aca="true" t="shared" si="23" ref="E100:L100">SUM(E92:E99)</f>
        <v>8</v>
      </c>
      <c r="F100" s="12">
        <f t="shared" si="23"/>
        <v>8</v>
      </c>
      <c r="G100" s="12">
        <f t="shared" si="23"/>
        <v>8</v>
      </c>
      <c r="H100" s="12">
        <f t="shared" si="23"/>
        <v>8</v>
      </c>
      <c r="I100" s="12">
        <f t="shared" si="23"/>
        <v>8</v>
      </c>
      <c r="J100" s="12">
        <f t="shared" si="23"/>
        <v>8</v>
      </c>
      <c r="K100" s="12">
        <f t="shared" si="23"/>
        <v>8</v>
      </c>
      <c r="L100" s="12">
        <f t="shared" si="23"/>
        <v>8</v>
      </c>
      <c r="M100" s="12">
        <f t="shared" si="21"/>
        <v>64</v>
      </c>
      <c r="N100" s="13"/>
      <c r="R100" s="13"/>
      <c r="S100" s="13"/>
      <c r="T100" s="13"/>
    </row>
    <row r="101" spans="5:20" s="78" customFormat="1" ht="12.75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R101" s="13"/>
      <c r="S101" s="13"/>
      <c r="T101" s="13"/>
    </row>
    <row r="102" spans="2:20" s="78" customFormat="1" ht="12.75">
      <c r="B102" s="80" t="s">
        <v>207</v>
      </c>
      <c r="C102" s="78" t="s">
        <v>114</v>
      </c>
      <c r="D102" s="80"/>
      <c r="E102" s="12">
        <f>E100+E91</f>
        <v>12</v>
      </c>
      <c r="F102" s="12">
        <f aca="true" t="shared" si="24" ref="F102:L102">F100+F91</f>
        <v>12</v>
      </c>
      <c r="G102" s="12">
        <f>G100+G91</f>
        <v>12</v>
      </c>
      <c r="H102" s="12">
        <f t="shared" si="24"/>
        <v>12</v>
      </c>
      <c r="I102" s="12">
        <f t="shared" si="24"/>
        <v>12</v>
      </c>
      <c r="J102" s="12">
        <f t="shared" si="24"/>
        <v>12</v>
      </c>
      <c r="K102" s="12">
        <f t="shared" si="24"/>
        <v>12</v>
      </c>
      <c r="L102" s="12">
        <f t="shared" si="24"/>
        <v>12</v>
      </c>
      <c r="M102" s="12">
        <f>SUM(E102:L102)</f>
        <v>96</v>
      </c>
      <c r="N102" s="435"/>
      <c r="R102" s="13"/>
      <c r="S102" s="13"/>
      <c r="T102" s="13"/>
    </row>
    <row r="103" spans="5:20" s="78" customFormat="1" ht="12.75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R103" s="13"/>
      <c r="S103" s="13"/>
      <c r="T103" s="13"/>
    </row>
    <row r="104" spans="2:20" s="78" customFormat="1" ht="12.75">
      <c r="B104" s="78" t="s">
        <v>37</v>
      </c>
      <c r="C104" s="78" t="s">
        <v>114</v>
      </c>
      <c r="E104" s="22">
        <v>1</v>
      </c>
      <c r="F104" s="22">
        <v>1</v>
      </c>
      <c r="G104" s="22">
        <v>1</v>
      </c>
      <c r="H104" s="22">
        <v>1</v>
      </c>
      <c r="I104" s="22">
        <v>1</v>
      </c>
      <c r="J104" s="22">
        <v>1</v>
      </c>
      <c r="K104" s="22">
        <v>1</v>
      </c>
      <c r="L104" s="22">
        <v>1</v>
      </c>
      <c r="M104" s="12">
        <f>SUM(E104:L104)</f>
        <v>8</v>
      </c>
      <c r="N104" s="13"/>
      <c r="R104" s="13"/>
      <c r="S104" s="13"/>
      <c r="T104" s="13"/>
    </row>
    <row r="105" spans="2:20" s="78" customFormat="1" ht="12.75">
      <c r="B105" s="78" t="s">
        <v>38</v>
      </c>
      <c r="C105" s="78" t="s">
        <v>114</v>
      </c>
      <c r="E105" s="12">
        <f aca="true" t="shared" si="25" ref="E105:L105">WACC2011*E104</f>
        <v>0.061</v>
      </c>
      <c r="F105" s="12">
        <f t="shared" si="25"/>
        <v>0.061</v>
      </c>
      <c r="G105" s="12">
        <f t="shared" si="25"/>
        <v>0.061</v>
      </c>
      <c r="H105" s="12">
        <f t="shared" si="25"/>
        <v>0.061</v>
      </c>
      <c r="I105" s="12">
        <f t="shared" si="25"/>
        <v>0.061</v>
      </c>
      <c r="J105" s="12">
        <f t="shared" si="25"/>
        <v>0.061</v>
      </c>
      <c r="K105" s="12">
        <f t="shared" si="25"/>
        <v>0.061</v>
      </c>
      <c r="L105" s="12">
        <f t="shared" si="25"/>
        <v>0.061</v>
      </c>
      <c r="M105" s="12">
        <f>SUM(E105:L105)</f>
        <v>0.488</v>
      </c>
      <c r="N105" s="13"/>
      <c r="R105" s="13"/>
      <c r="S105" s="13"/>
      <c r="T105" s="13"/>
    </row>
    <row r="106" spans="2:20" s="78" customFormat="1" ht="12.75">
      <c r="B106" s="78" t="s">
        <v>208</v>
      </c>
      <c r="C106" s="78" t="s">
        <v>114</v>
      </c>
      <c r="E106" s="22">
        <v>1</v>
      </c>
      <c r="F106" s="22">
        <v>1</v>
      </c>
      <c r="G106" s="22">
        <v>1</v>
      </c>
      <c r="H106" s="22">
        <v>1</v>
      </c>
      <c r="I106" s="22">
        <v>1</v>
      </c>
      <c r="J106" s="22">
        <v>1</v>
      </c>
      <c r="K106" s="22">
        <v>1</v>
      </c>
      <c r="L106" s="22">
        <v>1</v>
      </c>
      <c r="M106" s="12">
        <f>SUM(E106:L106)</f>
        <v>8</v>
      </c>
      <c r="N106" s="13"/>
      <c r="R106" s="13"/>
      <c r="S106" s="13"/>
      <c r="T106" s="13"/>
    </row>
    <row r="107" spans="2:20" s="78" customFormat="1" ht="12.75">
      <c r="B107" s="80" t="s">
        <v>209</v>
      </c>
      <c r="C107" s="78" t="s">
        <v>114</v>
      </c>
      <c r="D107" s="80"/>
      <c r="E107" s="12">
        <f aca="true" t="shared" si="26" ref="E107:L107">E105+E106</f>
        <v>1.061</v>
      </c>
      <c r="F107" s="12">
        <f t="shared" si="26"/>
        <v>1.061</v>
      </c>
      <c r="G107" s="12">
        <f t="shared" si="26"/>
        <v>1.061</v>
      </c>
      <c r="H107" s="12">
        <f t="shared" si="26"/>
        <v>1.061</v>
      </c>
      <c r="I107" s="12">
        <f t="shared" si="26"/>
        <v>1.061</v>
      </c>
      <c r="J107" s="12">
        <f t="shared" si="26"/>
        <v>1.061</v>
      </c>
      <c r="K107" s="12">
        <f t="shared" si="26"/>
        <v>1.061</v>
      </c>
      <c r="L107" s="12">
        <f t="shared" si="26"/>
        <v>1.061</v>
      </c>
      <c r="M107" s="12">
        <f>SUM(E107:L107)</f>
        <v>8.488</v>
      </c>
      <c r="N107" s="13"/>
      <c r="R107" s="13"/>
      <c r="S107" s="13"/>
      <c r="T107" s="13"/>
    </row>
    <row r="108" spans="5:20" s="78" customFormat="1" ht="12.75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R108" s="13"/>
      <c r="S108" s="13"/>
      <c r="T108" s="13"/>
    </row>
    <row r="109" spans="2:20" s="78" customFormat="1" ht="12.75">
      <c r="B109" s="79" t="s">
        <v>0</v>
      </c>
      <c r="C109" s="78" t="s">
        <v>114</v>
      </c>
      <c r="D109" s="79"/>
      <c r="E109" s="8">
        <f>E102+E107</f>
        <v>13.061</v>
      </c>
      <c r="F109" s="8">
        <f aca="true" t="shared" si="27" ref="F109:L109">F102+F107</f>
        <v>13.061</v>
      </c>
      <c r="G109" s="8">
        <f>G102+G107</f>
        <v>13.061</v>
      </c>
      <c r="H109" s="8">
        <f t="shared" si="27"/>
        <v>13.061</v>
      </c>
      <c r="I109" s="8">
        <f t="shared" si="27"/>
        <v>13.061</v>
      </c>
      <c r="J109" s="8">
        <f t="shared" si="27"/>
        <v>13.061</v>
      </c>
      <c r="K109" s="8">
        <f t="shared" si="27"/>
        <v>13.061</v>
      </c>
      <c r="L109" s="8">
        <f t="shared" si="27"/>
        <v>13.061</v>
      </c>
      <c r="M109" s="8">
        <f>SUM(E109:L109)</f>
        <v>104.48800000000003</v>
      </c>
      <c r="N109" s="13"/>
      <c r="R109" s="13"/>
      <c r="S109" s="13"/>
      <c r="T109" s="13"/>
    </row>
    <row r="110" spans="2:20" s="78" customFormat="1" ht="12.75">
      <c r="B110" s="79"/>
      <c r="D110" s="79"/>
      <c r="E110" s="543"/>
      <c r="F110" s="543"/>
      <c r="G110" s="543"/>
      <c r="H110" s="543"/>
      <c r="I110" s="543"/>
      <c r="J110" s="543"/>
      <c r="K110" s="543"/>
      <c r="L110" s="543"/>
      <c r="M110" s="543"/>
      <c r="N110" s="13"/>
      <c r="R110" s="13"/>
      <c r="S110" s="13"/>
      <c r="T110" s="13"/>
    </row>
    <row r="111" spans="2:20" s="78" customFormat="1" ht="12.75">
      <c r="B111" s="76"/>
      <c r="C111" s="76"/>
      <c r="D111" s="76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R111" s="13"/>
      <c r="S111" s="13"/>
      <c r="T111" s="13"/>
    </row>
    <row r="112" spans="2:3" ht="12.75">
      <c r="B112" s="431" t="s">
        <v>573</v>
      </c>
      <c r="C112" s="431"/>
    </row>
    <row r="114" spans="2:13" ht="12.75">
      <c r="B114" s="15" t="s">
        <v>39</v>
      </c>
      <c r="C114" s="78" t="s">
        <v>114</v>
      </c>
      <c r="E114" s="17">
        <f aca="true" t="shared" si="28" ref="E114:L114">E104*WACC2009</f>
        <v>0.055</v>
      </c>
      <c r="F114" s="17">
        <f t="shared" si="28"/>
        <v>0.055</v>
      </c>
      <c r="G114" s="17">
        <f t="shared" si="28"/>
        <v>0.055</v>
      </c>
      <c r="H114" s="17">
        <f t="shared" si="28"/>
        <v>0.055</v>
      </c>
      <c r="I114" s="17">
        <f t="shared" si="28"/>
        <v>0.055</v>
      </c>
      <c r="J114" s="17">
        <f t="shared" si="28"/>
        <v>0.055</v>
      </c>
      <c r="K114" s="17">
        <f t="shared" si="28"/>
        <v>0.055</v>
      </c>
      <c r="L114" s="17">
        <f t="shared" si="28"/>
        <v>0.055</v>
      </c>
      <c r="M114" s="17">
        <f>SUM(E114:L114)</f>
        <v>0.44</v>
      </c>
    </row>
    <row r="115" spans="2:13" ht="12.75">
      <c r="B115" s="15" t="s">
        <v>574</v>
      </c>
      <c r="C115" s="78" t="s">
        <v>114</v>
      </c>
      <c r="E115" s="17">
        <f>E106+E114</f>
        <v>1.055</v>
      </c>
      <c r="F115" s="17">
        <f aca="true" t="shared" si="29" ref="F115:L115">F106+F114</f>
        <v>1.055</v>
      </c>
      <c r="G115" s="17">
        <f t="shared" si="29"/>
        <v>1.055</v>
      </c>
      <c r="H115" s="17">
        <f t="shared" si="29"/>
        <v>1.055</v>
      </c>
      <c r="I115" s="17">
        <f t="shared" si="29"/>
        <v>1.055</v>
      </c>
      <c r="J115" s="17">
        <f t="shared" si="29"/>
        <v>1.055</v>
      </c>
      <c r="K115" s="17">
        <f t="shared" si="29"/>
        <v>1.055</v>
      </c>
      <c r="L115" s="17">
        <f t="shared" si="29"/>
        <v>1.055</v>
      </c>
      <c r="M115" s="17">
        <f>SUM(E115:L115)</f>
        <v>8.44</v>
      </c>
    </row>
    <row r="116" spans="2:13" ht="12.75">
      <c r="B116" s="15" t="s">
        <v>575</v>
      </c>
      <c r="C116" s="78" t="s">
        <v>114</v>
      </c>
      <c r="E116" s="73">
        <f>E102+E115</f>
        <v>13.055</v>
      </c>
      <c r="F116" s="73">
        <f aca="true" t="shared" si="30" ref="F116:L116">F102+F115</f>
        <v>13.055</v>
      </c>
      <c r="G116" s="73">
        <f t="shared" si="30"/>
        <v>13.055</v>
      </c>
      <c r="H116" s="73">
        <f t="shared" si="30"/>
        <v>13.055</v>
      </c>
      <c r="I116" s="73">
        <f t="shared" si="30"/>
        <v>13.055</v>
      </c>
      <c r="J116" s="73">
        <f t="shared" si="30"/>
        <v>13.055</v>
      </c>
      <c r="K116" s="73">
        <f t="shared" si="30"/>
        <v>13.055</v>
      </c>
      <c r="L116" s="73">
        <f t="shared" si="30"/>
        <v>13.055</v>
      </c>
      <c r="M116" s="73">
        <f>SUM(E116:L116)</f>
        <v>104.44000000000003</v>
      </c>
    </row>
    <row r="117" spans="3:13" ht="12.75">
      <c r="C117" s="78"/>
      <c r="E117" s="74"/>
      <c r="F117" s="74"/>
      <c r="G117" s="74"/>
      <c r="H117" s="74"/>
      <c r="I117" s="74"/>
      <c r="J117" s="74"/>
      <c r="K117" s="74"/>
      <c r="L117" s="74"/>
      <c r="M117" s="74"/>
    </row>
    <row r="118" spans="5:13" ht="12.75">
      <c r="E118" s="438"/>
      <c r="F118" s="438"/>
      <c r="G118" s="438"/>
      <c r="H118" s="438"/>
      <c r="I118" s="438"/>
      <c r="J118" s="438"/>
      <c r="K118" s="438"/>
      <c r="L118" s="438"/>
      <c r="M118" s="438"/>
    </row>
    <row r="119" spans="2:20" s="78" customFormat="1" ht="12.75">
      <c r="B119" s="76" t="s">
        <v>115</v>
      </c>
      <c r="C119" s="76"/>
      <c r="D119" s="76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R119" s="13"/>
      <c r="S119" s="13"/>
      <c r="T119" s="13"/>
    </row>
    <row r="120" spans="2:20" s="78" customFormat="1" ht="12.75">
      <c r="B120" s="78" t="s">
        <v>41</v>
      </c>
      <c r="C120" s="78" t="s">
        <v>114</v>
      </c>
      <c r="D120" s="76"/>
      <c r="E120" s="22">
        <v>1</v>
      </c>
      <c r="F120" s="22">
        <v>1</v>
      </c>
      <c r="G120" s="22">
        <v>1</v>
      </c>
      <c r="H120" s="22">
        <v>1</v>
      </c>
      <c r="I120" s="22">
        <v>1</v>
      </c>
      <c r="J120" s="22">
        <v>1</v>
      </c>
      <c r="K120" s="22">
        <v>1</v>
      </c>
      <c r="L120" s="22">
        <v>1</v>
      </c>
      <c r="M120" s="12">
        <f>SUM(E120:L120)</f>
        <v>8</v>
      </c>
      <c r="N120" s="13"/>
      <c r="R120" s="13"/>
      <c r="S120" s="13"/>
      <c r="T120" s="13"/>
    </row>
    <row r="121" spans="2:20" s="78" customFormat="1" ht="12.75">
      <c r="B121" s="78" t="s">
        <v>116</v>
      </c>
      <c r="C121" s="78" t="s">
        <v>114</v>
      </c>
      <c r="D121" s="76"/>
      <c r="E121" s="22">
        <v>1</v>
      </c>
      <c r="F121" s="22">
        <v>1</v>
      </c>
      <c r="G121" s="22">
        <v>1</v>
      </c>
      <c r="H121" s="22">
        <v>1</v>
      </c>
      <c r="I121" s="22">
        <v>1</v>
      </c>
      <c r="J121" s="22">
        <v>1</v>
      </c>
      <c r="K121" s="22">
        <v>1</v>
      </c>
      <c r="L121" s="22">
        <v>1</v>
      </c>
      <c r="M121" s="12">
        <f>SUM(E121:L121)</f>
        <v>8</v>
      </c>
      <c r="N121" s="13"/>
      <c r="R121" s="13"/>
      <c r="S121" s="13"/>
      <c r="T121" s="13"/>
    </row>
    <row r="122" spans="2:20" s="78" customFormat="1" ht="12.75">
      <c r="B122" s="78" t="s">
        <v>40</v>
      </c>
      <c r="C122" s="78" t="s">
        <v>114</v>
      </c>
      <c r="D122" s="76"/>
      <c r="E122" s="12">
        <f aca="true" t="shared" si="31" ref="E122:L122">WACC2011*E120</f>
        <v>0.061</v>
      </c>
      <c r="F122" s="12">
        <f t="shared" si="31"/>
        <v>0.061</v>
      </c>
      <c r="G122" s="12">
        <f t="shared" si="31"/>
        <v>0.061</v>
      </c>
      <c r="H122" s="12">
        <f t="shared" si="31"/>
        <v>0.061</v>
      </c>
      <c r="I122" s="12">
        <f t="shared" si="31"/>
        <v>0.061</v>
      </c>
      <c r="J122" s="12">
        <f t="shared" si="31"/>
        <v>0.061</v>
      </c>
      <c r="K122" s="12">
        <f t="shared" si="31"/>
        <v>0.061</v>
      </c>
      <c r="L122" s="12">
        <f t="shared" si="31"/>
        <v>0.061</v>
      </c>
      <c r="M122" s="12">
        <f>SUM(E122:L122)</f>
        <v>0.488</v>
      </c>
      <c r="N122" s="13"/>
      <c r="R122" s="13"/>
      <c r="S122" s="13"/>
      <c r="T122" s="13"/>
    </row>
    <row r="123" spans="2:20" s="78" customFormat="1" ht="12.75">
      <c r="B123" s="76"/>
      <c r="C123" s="76"/>
      <c r="D123" s="76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R123" s="13"/>
      <c r="S123" s="13"/>
      <c r="T123" s="13"/>
    </row>
    <row r="124" spans="2:20" s="78" customFormat="1" ht="12.75">
      <c r="B124" s="76" t="s">
        <v>136</v>
      </c>
      <c r="C124" s="78" t="s">
        <v>114</v>
      </c>
      <c r="D124" s="76"/>
      <c r="E124" s="12">
        <f aca="true" t="shared" si="32" ref="E124:L124">E121+E122</f>
        <v>1.061</v>
      </c>
      <c r="F124" s="12">
        <f t="shared" si="32"/>
        <v>1.061</v>
      </c>
      <c r="G124" s="12">
        <f t="shared" si="32"/>
        <v>1.061</v>
      </c>
      <c r="H124" s="12">
        <f t="shared" si="32"/>
        <v>1.061</v>
      </c>
      <c r="I124" s="12">
        <f t="shared" si="32"/>
        <v>1.061</v>
      </c>
      <c r="J124" s="12">
        <f t="shared" si="32"/>
        <v>1.061</v>
      </c>
      <c r="K124" s="12">
        <f t="shared" si="32"/>
        <v>1.061</v>
      </c>
      <c r="L124" s="12">
        <f t="shared" si="32"/>
        <v>1.061</v>
      </c>
      <c r="M124" s="12">
        <f>SUM(E124:L124)</f>
        <v>8.488</v>
      </c>
      <c r="N124" s="13"/>
      <c r="R124" s="13"/>
      <c r="S124" s="13"/>
      <c r="T124" s="13"/>
    </row>
    <row r="125" spans="2:20" s="78" customFormat="1" ht="12.75">
      <c r="B125" s="76"/>
      <c r="C125" s="76"/>
      <c r="D125" s="76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R125" s="13"/>
      <c r="S125" s="13"/>
      <c r="T125" s="13"/>
    </row>
    <row r="126" spans="5:13" ht="12.75">
      <c r="E126" s="438"/>
      <c r="F126" s="438"/>
      <c r="G126" s="438"/>
      <c r="H126" s="438"/>
      <c r="I126" s="438"/>
      <c r="J126" s="438"/>
      <c r="K126" s="438"/>
      <c r="L126" s="438"/>
      <c r="M126" s="438"/>
    </row>
    <row r="127" spans="2:13" s="42" customFormat="1" ht="12.75">
      <c r="B127" s="83" t="s">
        <v>135</v>
      </c>
      <c r="C127" s="83"/>
      <c r="D127" s="83"/>
      <c r="E127" s="439"/>
      <c r="F127" s="439"/>
      <c r="G127" s="439"/>
      <c r="H127" s="439"/>
      <c r="I127" s="439"/>
      <c r="J127" s="439"/>
      <c r="K127" s="439"/>
      <c r="L127" s="439"/>
      <c r="M127" s="439"/>
    </row>
    <row r="128" spans="5:13" ht="12.75">
      <c r="E128" s="438"/>
      <c r="F128" s="438"/>
      <c r="G128" s="438"/>
      <c r="H128" s="438"/>
      <c r="I128" s="438"/>
      <c r="J128" s="438"/>
      <c r="K128" s="438"/>
      <c r="L128" s="438"/>
      <c r="M128" s="438"/>
    </row>
    <row r="129" spans="2:13" ht="12.75">
      <c r="B129" s="79" t="s">
        <v>1</v>
      </c>
      <c r="C129" s="78" t="s">
        <v>114</v>
      </c>
      <c r="E129" s="17">
        <f>E109</f>
        <v>13.061</v>
      </c>
      <c r="F129" s="17">
        <f aca="true" t="shared" si="33" ref="F129:M129">F109</f>
        <v>13.061</v>
      </c>
      <c r="G129" s="17">
        <f t="shared" si="33"/>
        <v>13.061</v>
      </c>
      <c r="H129" s="17">
        <f t="shared" si="33"/>
        <v>13.061</v>
      </c>
      <c r="I129" s="17">
        <f t="shared" si="33"/>
        <v>13.061</v>
      </c>
      <c r="J129" s="17">
        <f t="shared" si="33"/>
        <v>13.061</v>
      </c>
      <c r="K129" s="17">
        <f t="shared" si="33"/>
        <v>13.061</v>
      </c>
      <c r="L129" s="17">
        <f t="shared" si="33"/>
        <v>13.061</v>
      </c>
      <c r="M129" s="17">
        <f t="shared" si="33"/>
        <v>104.48800000000003</v>
      </c>
    </row>
    <row r="130" spans="5:13" ht="12.75">
      <c r="E130" s="438"/>
      <c r="F130" s="438"/>
      <c r="G130" s="438"/>
      <c r="H130" s="438"/>
      <c r="I130" s="438"/>
      <c r="J130" s="438"/>
      <c r="K130" s="438"/>
      <c r="L130" s="438"/>
      <c r="M130" s="438"/>
    </row>
    <row r="131" spans="2:13" ht="12.75">
      <c r="B131" s="15" t="s">
        <v>2</v>
      </c>
      <c r="C131" s="78" t="s">
        <v>114</v>
      </c>
      <c r="E131" s="17">
        <f>(EAV!D118)/1000</f>
        <v>255.79636</v>
      </c>
      <c r="F131" s="17">
        <f>(EAV!I118)/1000</f>
        <v>472.81281999999993</v>
      </c>
      <c r="G131" s="17">
        <f>(EAV!AC118)/1000</f>
        <v>335.7926</v>
      </c>
      <c r="H131" s="17">
        <f>(EAV!X118)/1000</f>
        <v>442.945</v>
      </c>
      <c r="I131" s="17">
        <f>(EAV!AH118)/1000</f>
        <v>675.1919499999999</v>
      </c>
      <c r="J131" s="17">
        <f>(EAV!AR118)/1000</f>
        <v>761.01609</v>
      </c>
      <c r="K131" s="17">
        <f>(EAV!N118)/1000</f>
        <v>539.5645700000001</v>
      </c>
      <c r="L131" s="17">
        <f>(EAV!AW118)/1000</f>
        <v>319.8961</v>
      </c>
      <c r="M131" s="17">
        <f>SUM(E131:L131)</f>
        <v>3803.0154899999998</v>
      </c>
    </row>
    <row r="132" spans="2:13" ht="12.75">
      <c r="B132" s="15" t="s">
        <v>3</v>
      </c>
      <c r="C132" s="78" t="s">
        <v>114</v>
      </c>
      <c r="E132" s="17">
        <f>(EAV!D154)/1000</f>
        <v>1.05903</v>
      </c>
      <c r="F132" s="17">
        <f>(EAV!I154)/1000</f>
        <v>0.6192300000000001</v>
      </c>
      <c r="G132" s="17">
        <f>(EAV!AC154)/1000</f>
        <v>0.8393999999999999</v>
      </c>
      <c r="H132" s="17">
        <f>(EAV!X154)/1000</f>
        <v>0.559</v>
      </c>
      <c r="I132" s="17">
        <f>(EAV!AH154)/1000</f>
        <v>0.7985999999999999</v>
      </c>
      <c r="J132" s="17">
        <f>(EAV!AR154)/1000</f>
        <v>1.0460999999999998</v>
      </c>
      <c r="K132" s="17">
        <f>(EAV!N154)/1000</f>
        <v>0.8518000000000001</v>
      </c>
      <c r="L132" s="17">
        <f>(EAV!AW154)/1000</f>
        <v>2.14546</v>
      </c>
      <c r="M132" s="17">
        <f>SUM(E132:L132)</f>
        <v>7.91862</v>
      </c>
    </row>
    <row r="133" spans="5:13" ht="12.75">
      <c r="E133" s="438"/>
      <c r="F133" s="438"/>
      <c r="G133" s="438"/>
      <c r="H133" s="438"/>
      <c r="I133" s="438"/>
      <c r="J133" s="438"/>
      <c r="K133" s="438"/>
      <c r="L133" s="438"/>
      <c r="M133" s="438"/>
    </row>
    <row r="134" spans="2:13" ht="12.75">
      <c r="B134" s="79" t="s">
        <v>4</v>
      </c>
      <c r="C134" s="78" t="s">
        <v>114</v>
      </c>
      <c r="E134" s="73">
        <f>SUM(E129,E131:E132)</f>
        <v>269.91639</v>
      </c>
      <c r="F134" s="73">
        <f aca="true" t="shared" si="34" ref="F134:L134">SUM(F129,F131:F132)</f>
        <v>486.4930499999999</v>
      </c>
      <c r="G134" s="73">
        <f t="shared" si="34"/>
        <v>349.693</v>
      </c>
      <c r="H134" s="73">
        <f t="shared" si="34"/>
        <v>456.565</v>
      </c>
      <c r="I134" s="73">
        <f t="shared" si="34"/>
        <v>689.0515499999999</v>
      </c>
      <c r="J134" s="73">
        <f t="shared" si="34"/>
        <v>775.12319</v>
      </c>
      <c r="K134" s="73">
        <f t="shared" si="34"/>
        <v>553.4773700000002</v>
      </c>
      <c r="L134" s="73">
        <f t="shared" si="34"/>
        <v>335.10256</v>
      </c>
      <c r="M134" s="73">
        <f>SUM(E134:L134)</f>
        <v>3915.4221099999995</v>
      </c>
    </row>
    <row r="65529" ht="12.75">
      <c r="C65529" s="78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2:N53"/>
  <sheetViews>
    <sheetView showGridLines="0" zoomScale="85" zoomScaleNormal="85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7" sqref="C7"/>
    </sheetView>
  </sheetViews>
  <sheetFormatPr defaultColWidth="9.140625" defaultRowHeight="12.75"/>
  <cols>
    <col min="1" max="1" width="9.140625" style="23" customWidth="1"/>
    <col min="2" max="2" width="39.8515625" style="23" customWidth="1"/>
    <col min="3" max="3" width="11.00390625" style="23" customWidth="1"/>
    <col min="4" max="4" width="12.7109375" style="23" customWidth="1"/>
    <col min="5" max="5" width="11.8515625" style="23" bestFit="1" customWidth="1"/>
    <col min="6" max="6" width="12.7109375" style="23" bestFit="1" customWidth="1"/>
    <col min="7" max="7" width="11.8515625" style="23" bestFit="1" customWidth="1"/>
    <col min="8" max="8" width="14.00390625" style="23" bestFit="1" customWidth="1"/>
    <col min="9" max="9" width="11.8515625" style="23" bestFit="1" customWidth="1"/>
    <col min="10" max="11" width="14.00390625" style="23" bestFit="1" customWidth="1"/>
    <col min="12" max="12" width="11.8515625" style="23" bestFit="1" customWidth="1"/>
    <col min="13" max="13" width="11.7109375" style="86" customWidth="1"/>
    <col min="14" max="14" width="3.00390625" style="86" customWidth="1"/>
    <col min="15" max="16384" width="9.140625" style="23" customWidth="1"/>
  </cols>
  <sheetData>
    <row r="2" spans="1:14" s="428" customFormat="1" ht="117" customHeight="1">
      <c r="A2" s="2"/>
      <c r="B2" s="3" t="s">
        <v>210</v>
      </c>
      <c r="C2" s="3"/>
      <c r="D2" s="3"/>
      <c r="E2" s="4" t="s">
        <v>146</v>
      </c>
      <c r="F2" s="4" t="s">
        <v>29</v>
      </c>
      <c r="G2" s="4" t="s">
        <v>455</v>
      </c>
      <c r="H2" s="4" t="s">
        <v>148</v>
      </c>
      <c r="I2" s="4" t="s">
        <v>150</v>
      </c>
      <c r="J2" s="4" t="s">
        <v>151</v>
      </c>
      <c r="K2" s="4" t="s">
        <v>147</v>
      </c>
      <c r="L2" s="4" t="s">
        <v>30</v>
      </c>
      <c r="M2" s="4" t="s">
        <v>153</v>
      </c>
      <c r="N2" s="88"/>
    </row>
    <row r="4" spans="2:4" s="5" customFormat="1" ht="12.75">
      <c r="B4" s="6">
        <v>2006</v>
      </c>
      <c r="C4" s="6"/>
      <c r="D4" s="6"/>
    </row>
    <row r="5" spans="13:14" s="25" customFormat="1" ht="12.75">
      <c r="M5" s="89"/>
      <c r="N5" s="89"/>
    </row>
    <row r="6" spans="2:14" s="26" customFormat="1" ht="11.25">
      <c r="B6" s="69" t="s">
        <v>258</v>
      </c>
      <c r="C6" s="69"/>
      <c r="D6" s="69"/>
      <c r="E6" s="27">
        <f>SUMPRODUCT(Wegingsfactor!$D259:$D369,Volumes!E18:E128)</f>
        <v>13018620.004516432</v>
      </c>
      <c r="F6" s="27">
        <f>SUMPRODUCT(Wegingsfactor!$D259:$D369,Volumes!F18:F128)</f>
        <v>61495196.0159501</v>
      </c>
      <c r="G6" s="27">
        <f>SUMPRODUCT(Wegingsfactor!$D259:$D369,Volumes!G18:G128)</f>
        <v>26733707.631375033</v>
      </c>
      <c r="H6" s="27">
        <f>SUMPRODUCT(Wegingsfactor!$D259:$D369,Volumes!H18:H128)</f>
        <v>702602461.5201102</v>
      </c>
      <c r="I6" s="27">
        <f>SUMPRODUCT(Wegingsfactor!$D259:$D369,Volumes!I18:I128)</f>
        <v>722179364.9374416</v>
      </c>
      <c r="J6" s="27">
        <f>SUMPRODUCT(Wegingsfactor!$D259:$D369,Volumes!J18:J128)</f>
        <v>8040537.417532754</v>
      </c>
      <c r="K6" s="27">
        <f>SUMPRODUCT(Wegingsfactor!$D259:$D369,Volumes!K18:K128)</f>
        <v>511947470.2958376</v>
      </c>
      <c r="L6" s="27">
        <f>SUMPRODUCT(Wegingsfactor!$D259:$D369,Volumes!L18:L128)</f>
        <v>30617537.75456238</v>
      </c>
      <c r="M6" s="27">
        <f>SUM(E6:L6)</f>
        <v>2076634895.577326</v>
      </c>
      <c r="N6" s="85"/>
    </row>
    <row r="7" spans="2:14" s="26" customFormat="1" ht="11.25">
      <c r="B7" s="72" t="s">
        <v>252</v>
      </c>
      <c r="C7" s="72"/>
      <c r="D7" s="72"/>
      <c r="E7" s="27">
        <f>SUMPRODUCT(Wegingsfactor!$D374:$D381,Volumes!E132:E139)</f>
        <v>1108444.4653323817</v>
      </c>
      <c r="F7" s="27">
        <f>SUMPRODUCT(Wegingsfactor!$D374:$D381,Volumes!F132:F139)</f>
        <v>5031975.3940026015</v>
      </c>
      <c r="G7" s="27">
        <f>SUMPRODUCT(Wegingsfactor!$D374:$D381,Volumes!G132:G139)</f>
        <v>2490180.21964728</v>
      </c>
      <c r="H7" s="27">
        <f>SUMPRODUCT(Wegingsfactor!$D374:$D381,Volumes!H132:H139)</f>
        <v>64131813.52674197</v>
      </c>
      <c r="I7" s="27">
        <f>SUMPRODUCT(Wegingsfactor!$D374:$D381,Volumes!I132:I139)</f>
        <v>66772696.930806175</v>
      </c>
      <c r="J7" s="27">
        <f>SUMPRODUCT(Wegingsfactor!$D374:$D381,Volumes!J132:J139)</f>
        <v>705187.0930654301</v>
      </c>
      <c r="K7" s="27">
        <f>SUMPRODUCT(Wegingsfactor!$D374:$D381,Volumes!K132:K139)</f>
        <v>46523843.79992925</v>
      </c>
      <c r="L7" s="27">
        <f>SUMPRODUCT(Wegingsfactor!$D374:$D381,Volumes!L132:L139)</f>
        <v>1513717.1338090631</v>
      </c>
      <c r="M7" s="27">
        <f>SUM(E7:L7)</f>
        <v>188277858.56333414</v>
      </c>
      <c r="N7" s="85"/>
    </row>
    <row r="8" spans="2:14" s="26" customFormat="1" ht="11.25">
      <c r="B8" s="72" t="s">
        <v>254</v>
      </c>
      <c r="C8" s="72"/>
      <c r="D8" s="72"/>
      <c r="E8" s="110"/>
      <c r="F8" s="110"/>
      <c r="G8" s="110"/>
      <c r="H8" s="110"/>
      <c r="I8" s="110"/>
      <c r="J8" s="110"/>
      <c r="K8" s="110"/>
      <c r="L8" s="110"/>
      <c r="M8" s="110"/>
      <c r="N8" s="85"/>
    </row>
    <row r="9" spans="2:14" s="26" customFormat="1" ht="11.25">
      <c r="B9" s="71" t="s">
        <v>256</v>
      </c>
      <c r="C9" s="71"/>
      <c r="D9" s="71"/>
      <c r="E9" s="110"/>
      <c r="F9" s="110"/>
      <c r="G9" s="110"/>
      <c r="H9" s="110"/>
      <c r="I9" s="110"/>
      <c r="J9" s="110"/>
      <c r="K9" s="110"/>
      <c r="L9" s="110"/>
      <c r="M9" s="110"/>
      <c r="N9" s="85"/>
    </row>
    <row r="10" ht="12.75">
      <c r="M10" s="85"/>
    </row>
    <row r="11" spans="2:14" ht="12.75">
      <c r="B11" s="29" t="s">
        <v>211</v>
      </c>
      <c r="C11" s="29"/>
      <c r="D11" s="29"/>
      <c r="E11" s="28">
        <f aca="true" t="shared" si="0" ref="E11:L11">SUM(E6:E9)</f>
        <v>14127064.469848813</v>
      </c>
      <c r="F11" s="28">
        <f t="shared" si="0"/>
        <v>66527171.4099527</v>
      </c>
      <c r="G11" s="28">
        <f t="shared" si="0"/>
        <v>29223887.851022314</v>
      </c>
      <c r="H11" s="28">
        <f t="shared" si="0"/>
        <v>766734275.0468522</v>
      </c>
      <c r="I11" s="28">
        <f t="shared" si="0"/>
        <v>788952061.8682477</v>
      </c>
      <c r="J11" s="28">
        <f t="shared" si="0"/>
        <v>8745724.510598185</v>
      </c>
      <c r="K11" s="28">
        <f t="shared" si="0"/>
        <v>558471314.0957668</v>
      </c>
      <c r="L11" s="28">
        <f t="shared" si="0"/>
        <v>32131254.888371445</v>
      </c>
      <c r="M11" s="429">
        <f>SUM(E11:L11)</f>
        <v>2264912754.1406603</v>
      </c>
      <c r="N11" s="87"/>
    </row>
    <row r="13" spans="2:4" s="5" customFormat="1" ht="12.75">
      <c r="B13" s="6">
        <v>2007</v>
      </c>
      <c r="C13" s="6"/>
      <c r="D13" s="6"/>
    </row>
    <row r="14" spans="13:14" s="25" customFormat="1" ht="12.75">
      <c r="M14" s="89"/>
      <c r="N14" s="89"/>
    </row>
    <row r="15" spans="2:14" s="26" customFormat="1" ht="11.25">
      <c r="B15" s="69" t="s">
        <v>258</v>
      </c>
      <c r="C15" s="69"/>
      <c r="D15" s="69"/>
      <c r="E15" s="27">
        <f>SUMPRODUCT(Wegingsfactor!$D259:$D369,Volumes!E146:E256)</f>
        <v>13188777.902811425</v>
      </c>
      <c r="F15" s="27">
        <f>SUMPRODUCT(Wegingsfactor!$D259:$D369,Volumes!F146:F256)</f>
        <v>61260415.79163527</v>
      </c>
      <c r="G15" s="27">
        <f>SUMPRODUCT(Wegingsfactor!$D259:$D369,Volumes!G146:G256)</f>
        <v>26400108.5767165</v>
      </c>
      <c r="H15" s="27">
        <f>SUMPRODUCT(Wegingsfactor!$D259:$D369,Volumes!H146:H256)</f>
        <v>717848559.6319716</v>
      </c>
      <c r="I15" s="27">
        <f>SUMPRODUCT(Wegingsfactor!$D259:$D369,Volumes!I146:I256)</f>
        <v>728444697.8311388</v>
      </c>
      <c r="J15" s="27">
        <f>SUMPRODUCT(Wegingsfactor!$D259:$D369,Volumes!J146:J256)</f>
        <v>7946158.814832112</v>
      </c>
      <c r="K15" s="27">
        <f>SUMPRODUCT(Wegingsfactor!$D259:$D369,Volumes!K146:K256)</f>
        <v>518089208.61417</v>
      </c>
      <c r="L15" s="27">
        <f>SUMPRODUCT(Wegingsfactor!$D259:$D369,Volumes!L146:L256)</f>
        <v>31511860.920200944</v>
      </c>
      <c r="M15" s="27">
        <f>SUM(E15:L15)</f>
        <v>2104689788.083477</v>
      </c>
      <c r="N15" s="85"/>
    </row>
    <row r="16" spans="2:14" s="26" customFormat="1" ht="11.25">
      <c r="B16" s="72" t="s">
        <v>252</v>
      </c>
      <c r="C16" s="72"/>
      <c r="D16" s="72"/>
      <c r="E16" s="27">
        <f>SUMPRODUCT(Wegingsfactor!$D374:$D381,Volumes!E260:E267)</f>
        <v>1117365.8894240719</v>
      </c>
      <c r="F16" s="27">
        <f>SUMPRODUCT(Wegingsfactor!$D374:$D381,Volumes!F260:F267)</f>
        <v>5109491.610667489</v>
      </c>
      <c r="G16" s="27">
        <f>SUMPRODUCT(Wegingsfactor!$D374:$D381,Volumes!G260:G267)</f>
        <v>2567542.7153334273</v>
      </c>
      <c r="H16" s="27">
        <f>SUMPRODUCT(Wegingsfactor!$D374:$D381,Volumes!H260:H267)</f>
        <v>60898880.215008125</v>
      </c>
      <c r="I16" s="27">
        <f>SUMPRODUCT(Wegingsfactor!$D374:$D381,Volumes!I260:I267)</f>
        <v>67767877.57692946</v>
      </c>
      <c r="J16" s="27">
        <f>SUMPRODUCT(Wegingsfactor!$D374:$D381,Volumes!J260:J267)</f>
        <v>710913.1898962362</v>
      </c>
      <c r="K16" s="27">
        <f>SUMPRODUCT(Wegingsfactor!$D374:$D381,Volumes!K260:K267)</f>
        <v>43669362.26554565</v>
      </c>
      <c r="L16" s="27">
        <f>SUMPRODUCT(Wegingsfactor!$D374:$D381,Volumes!L260:L267)</f>
        <v>1511998.0225026028</v>
      </c>
      <c r="M16" s="27">
        <f>SUM(E16:L16)</f>
        <v>183353431.48530704</v>
      </c>
      <c r="N16" s="85"/>
    </row>
    <row r="17" spans="2:14" s="26" customFormat="1" ht="11.25">
      <c r="B17" s="72" t="s">
        <v>254</v>
      </c>
      <c r="C17" s="72"/>
      <c r="D17" s="72"/>
      <c r="E17" s="110"/>
      <c r="F17" s="110"/>
      <c r="G17" s="110"/>
      <c r="H17" s="110"/>
      <c r="I17" s="110"/>
      <c r="J17" s="110"/>
      <c r="K17" s="110"/>
      <c r="L17" s="110"/>
      <c r="M17" s="110"/>
      <c r="N17" s="85"/>
    </row>
    <row r="18" spans="2:14" s="26" customFormat="1" ht="11.25">
      <c r="B18" s="71" t="s">
        <v>256</v>
      </c>
      <c r="C18" s="71"/>
      <c r="D18" s="71"/>
      <c r="E18" s="110"/>
      <c r="F18" s="110"/>
      <c r="G18" s="110"/>
      <c r="H18" s="110"/>
      <c r="I18" s="110"/>
      <c r="J18" s="110"/>
      <c r="K18" s="110"/>
      <c r="L18" s="110"/>
      <c r="M18" s="110"/>
      <c r="N18" s="85"/>
    </row>
    <row r="20" spans="2:14" ht="12.75">
      <c r="B20" s="29" t="s">
        <v>212</v>
      </c>
      <c r="C20" s="29"/>
      <c r="D20" s="29"/>
      <c r="E20" s="28">
        <f aca="true" t="shared" si="1" ref="E20:L20">SUM(E15:E18)</f>
        <v>14306143.792235497</v>
      </c>
      <c r="F20" s="28">
        <f t="shared" si="1"/>
        <v>66369907.40230276</v>
      </c>
      <c r="G20" s="28">
        <f t="shared" si="1"/>
        <v>28967651.29204993</v>
      </c>
      <c r="H20" s="28">
        <f t="shared" si="1"/>
        <v>778747439.8469797</v>
      </c>
      <c r="I20" s="28">
        <f t="shared" si="1"/>
        <v>796212575.4080683</v>
      </c>
      <c r="J20" s="28">
        <f t="shared" si="1"/>
        <v>8657072.004728347</v>
      </c>
      <c r="K20" s="28">
        <f t="shared" si="1"/>
        <v>561758570.8797157</v>
      </c>
      <c r="L20" s="28">
        <f t="shared" si="1"/>
        <v>33023858.942703545</v>
      </c>
      <c r="M20" s="429">
        <f>SUM(E20:L20)</f>
        <v>2288043219.568784</v>
      </c>
      <c r="N20" s="87"/>
    </row>
    <row r="22" spans="2:4" s="5" customFormat="1" ht="12.75">
      <c r="B22" s="6">
        <v>2008</v>
      </c>
      <c r="C22" s="6"/>
      <c r="D22" s="6"/>
    </row>
    <row r="23" spans="13:14" s="25" customFormat="1" ht="12.75">
      <c r="M23" s="89"/>
      <c r="N23" s="89"/>
    </row>
    <row r="24" spans="2:14" s="26" customFormat="1" ht="11.25">
      <c r="B24" s="69" t="s">
        <v>258</v>
      </c>
      <c r="C24" s="69"/>
      <c r="D24" s="69"/>
      <c r="E24" s="27">
        <f>SUMPRODUCT(Wegingsfactor!$D259:$D369,Volumes!E273:E383)</f>
        <v>13436438.850863231</v>
      </c>
      <c r="F24" s="27">
        <f>SUMPRODUCT(Wegingsfactor!$D259:$D369,Volumes!F273:F383)</f>
        <v>50313189.74287963</v>
      </c>
      <c r="G24" s="27">
        <f>SUMPRODUCT(Wegingsfactor!$D259:$D369,Volumes!G273:G383)</f>
        <v>26923553.166971967</v>
      </c>
      <c r="H24" s="27">
        <f>SUMPRODUCT(Wegingsfactor!$D259:$D369,Volumes!H273:H383)</f>
        <v>670582994.5788674</v>
      </c>
      <c r="I24" s="27">
        <f>SUMPRODUCT(Wegingsfactor!$D259:$D369,Volumes!I273:I383)</f>
        <v>728034545.4380399</v>
      </c>
      <c r="J24" s="27">
        <f>SUMPRODUCT(Wegingsfactor!$D259:$D369,Volumes!J273:J383)</f>
        <v>8081856.315150702</v>
      </c>
      <c r="K24" s="27">
        <f>SUMPRODUCT(Wegingsfactor!$D259:$D369,Volumes!K273:K383)</f>
        <v>516992231.0456803</v>
      </c>
      <c r="L24" s="27">
        <f>SUMPRODUCT(Wegingsfactor!$D259:$D369,Volumes!L273:L383)</f>
        <v>31241098.761931375</v>
      </c>
      <c r="M24" s="27">
        <f>SUM(E24:L24)</f>
        <v>2045605907.9003847</v>
      </c>
      <c r="N24" s="85"/>
    </row>
    <row r="25" spans="2:14" s="26" customFormat="1" ht="11.25">
      <c r="B25" s="72" t="s">
        <v>252</v>
      </c>
      <c r="C25" s="72"/>
      <c r="D25" s="72"/>
      <c r="E25" s="27">
        <f>SUMPRODUCT(Wegingsfactor!$D374:$D381,Volumes!E387:E394)</f>
        <v>1129254.8162169666</v>
      </c>
      <c r="F25" s="27">
        <f>SUMPRODUCT(Wegingsfactor!$D374:$D381,Volumes!F387:F394)</f>
        <v>5408192.038993532</v>
      </c>
      <c r="G25" s="27">
        <f>SUMPRODUCT(Wegingsfactor!$D374:$D381,Volumes!G387:G394)</f>
        <v>2602795.385169499</v>
      </c>
      <c r="H25" s="27">
        <f>SUMPRODUCT(Wegingsfactor!$D374:$D381,Volumes!H387:H394)</f>
        <v>62546789.07255426</v>
      </c>
      <c r="I25" s="27">
        <f>SUMPRODUCT(Wegingsfactor!$D374:$D381,Volumes!I387:I394)</f>
        <v>68669400.57698603</v>
      </c>
      <c r="J25" s="27">
        <f>SUMPRODUCT(Wegingsfactor!$D374:$D381,Volumes!J387:J394)</f>
        <v>715011.4845717661</v>
      </c>
      <c r="K25" s="27">
        <f>SUMPRODUCT(Wegingsfactor!$D374:$D381,Volumes!K387:K394)</f>
        <v>44953023.49295553</v>
      </c>
      <c r="L25" s="27">
        <f>SUMPRODUCT(Wegingsfactor!$D374:$D381,Volumes!L387:L394)</f>
        <v>1627328.9028450227</v>
      </c>
      <c r="M25" s="27">
        <f>SUM(E25:L25)</f>
        <v>187651795.7702926</v>
      </c>
      <c r="N25" s="85"/>
    </row>
    <row r="26" spans="2:14" s="26" customFormat="1" ht="11.25">
      <c r="B26" s="72" t="s">
        <v>254</v>
      </c>
      <c r="C26" s="72"/>
      <c r="D26" s="72"/>
      <c r="E26" s="110"/>
      <c r="F26" s="110"/>
      <c r="G26" s="110"/>
      <c r="H26" s="110"/>
      <c r="I26" s="110"/>
      <c r="J26" s="110"/>
      <c r="K26" s="110"/>
      <c r="L26" s="110"/>
      <c r="M26" s="110"/>
      <c r="N26" s="85"/>
    </row>
    <row r="27" spans="2:14" s="26" customFormat="1" ht="11.25">
      <c r="B27" s="71" t="s">
        <v>256</v>
      </c>
      <c r="C27" s="71"/>
      <c r="D27" s="71"/>
      <c r="E27" s="110"/>
      <c r="F27" s="110"/>
      <c r="G27" s="110"/>
      <c r="H27" s="110"/>
      <c r="I27" s="110"/>
      <c r="J27" s="110"/>
      <c r="K27" s="110"/>
      <c r="L27" s="110"/>
      <c r="M27" s="110"/>
      <c r="N27" s="85"/>
    </row>
    <row r="28" spans="5:13" ht="12.75">
      <c r="E28" s="518"/>
      <c r="F28" s="518"/>
      <c r="G28" s="518"/>
      <c r="H28" s="518"/>
      <c r="I28" s="518"/>
      <c r="J28" s="518"/>
      <c r="K28" s="518"/>
      <c r="L28" s="518"/>
      <c r="M28" s="85"/>
    </row>
    <row r="29" spans="2:14" ht="12.75">
      <c r="B29" s="29" t="s">
        <v>213</v>
      </c>
      <c r="C29" s="29"/>
      <c r="D29" s="29"/>
      <c r="E29" s="28">
        <f aca="true" t="shared" si="2" ref="E29:L29">SUM(E24:E27)</f>
        <v>14565693.667080197</v>
      </c>
      <c r="F29" s="28">
        <f t="shared" si="2"/>
        <v>55721381.78187316</v>
      </c>
      <c r="G29" s="28">
        <f t="shared" si="2"/>
        <v>29526348.552141465</v>
      </c>
      <c r="H29" s="28">
        <f t="shared" si="2"/>
        <v>733129783.6514217</v>
      </c>
      <c r="I29" s="28">
        <f t="shared" si="2"/>
        <v>796703946.015026</v>
      </c>
      <c r="J29" s="28">
        <f t="shared" si="2"/>
        <v>8796867.799722468</v>
      </c>
      <c r="K29" s="28">
        <f t="shared" si="2"/>
        <v>561945254.5386358</v>
      </c>
      <c r="L29" s="28">
        <f t="shared" si="2"/>
        <v>32868427.664776396</v>
      </c>
      <c r="M29" s="429">
        <f>SUM(E29:L29)</f>
        <v>2233257703.670677</v>
      </c>
      <c r="N29" s="87"/>
    </row>
    <row r="31" spans="2:4" s="5" customFormat="1" ht="12.75">
      <c r="B31" s="6">
        <v>2009</v>
      </c>
      <c r="C31" s="6"/>
      <c r="D31" s="6"/>
    </row>
    <row r="32" spans="13:14" s="25" customFormat="1" ht="12.75">
      <c r="M32" s="89"/>
      <c r="N32" s="89"/>
    </row>
    <row r="33" spans="2:14" s="26" customFormat="1" ht="11.25">
      <c r="B33" s="69" t="s">
        <v>258</v>
      </c>
      <c r="C33" s="69"/>
      <c r="D33" s="69"/>
      <c r="E33" s="27">
        <f>SUMPRODUCT(Wegingsfactor!$D259:$D369,Volumes!E400:E510)</f>
        <v>5186.614559261726</v>
      </c>
      <c r="F33" s="27">
        <f>SUMPRODUCT(Wegingsfactor!$D259:$D369,Volumes!F400:F510)</f>
        <v>13506.9982780255</v>
      </c>
      <c r="G33" s="27">
        <f>SUMPRODUCT(Wegingsfactor!$D259:$D369,Volumes!G400:G510)</f>
        <v>8791.995400796617</v>
      </c>
      <c r="H33" s="27">
        <f>SUMPRODUCT(Wegingsfactor!$D259:$D369,Volumes!H400:H510)</f>
        <v>11190.050613386138</v>
      </c>
      <c r="I33" s="27">
        <f>SUMPRODUCT(Wegingsfactor!$D259:$D369,Volumes!I400:I510)</f>
        <v>19045.40419257009</v>
      </c>
      <c r="J33" s="27">
        <f>SUMPRODUCT(Wegingsfactor!$D259:$D369,Volumes!J400:J510)</f>
        <v>5642.0640592213695</v>
      </c>
      <c r="K33" s="27">
        <f>SUMPRODUCT(Wegingsfactor!$D259:$D369,Volumes!K400:K510)</f>
        <v>21809.985800977087</v>
      </c>
      <c r="L33" s="27">
        <f>SUMPRODUCT(Wegingsfactor!$D259:$D369,Volumes!L400:L510)</f>
        <v>7965.615367155873</v>
      </c>
      <c r="M33" s="27">
        <f>SUM(E33:L33)</f>
        <v>93138.7282713944</v>
      </c>
      <c r="N33" s="85"/>
    </row>
    <row r="34" spans="2:14" s="26" customFormat="1" ht="11.25">
      <c r="B34" s="72" t="s">
        <v>252</v>
      </c>
      <c r="C34" s="72"/>
      <c r="D34" s="72"/>
      <c r="E34" s="27">
        <f>SUMPRODUCT(Wegingsfactor!$D374:$D381,Volumes!E514:E521)</f>
        <v>904.4640663589162</v>
      </c>
      <c r="F34" s="27">
        <f>SUMPRODUCT(Wegingsfactor!$D374:$D381,Volumes!F514:F521)</f>
        <v>5860.96053614566</v>
      </c>
      <c r="G34" s="27">
        <f>SUMPRODUCT(Wegingsfactor!$D374:$D381,Volumes!G514:G521)</f>
        <v>5860.96053614566</v>
      </c>
      <c r="H34" s="27">
        <f>SUMPRODUCT(Wegingsfactor!$D374:$D381,Volumes!H514:H521)</f>
        <v>5856.598839741561</v>
      </c>
      <c r="I34" s="27">
        <f>SUMPRODUCT(Wegingsfactor!$D374:$D381,Volumes!I514:I521)</f>
        <v>5860.96053614566</v>
      </c>
      <c r="J34" s="27">
        <f>SUMPRODUCT(Wegingsfactor!$D374:$D381,Volumes!J514:J521)</f>
        <v>908.8257627630145</v>
      </c>
      <c r="K34" s="27">
        <f>SUMPRODUCT(Wegingsfactor!$D374:$D381,Volumes!K514:K521)</f>
        <v>5860.96053614566</v>
      </c>
      <c r="L34" s="27">
        <f>SUMPRODUCT(Wegingsfactor!$D374:$D381,Volumes!L514:L521)</f>
        <v>5860.96053614566</v>
      </c>
      <c r="M34" s="27">
        <f>SUM(E34:L34)</f>
        <v>36974.69134959179</v>
      </c>
      <c r="N34" s="85"/>
    </row>
    <row r="35" spans="2:14" s="26" customFormat="1" ht="11.25">
      <c r="B35" s="72" t="s">
        <v>254</v>
      </c>
      <c r="C35" s="72"/>
      <c r="D35" s="72"/>
      <c r="E35" s="27">
        <f>SUMPRODUCT(Wegingsfactor!$D385:$D398,Volumes!E525:E538)</f>
        <v>142209.02244911433</v>
      </c>
      <c r="F35" s="27">
        <f>SUMPRODUCT(Wegingsfactor!$D385:$D398,Volumes!F525:F538)</f>
        <v>500769.6907358292</v>
      </c>
      <c r="G35" s="27">
        <f>SUMPRODUCT(Wegingsfactor!$D385:$D398,Volumes!G525:G538)</f>
        <v>536717.7961972625</v>
      </c>
      <c r="H35" s="27">
        <f>SUMPRODUCT(Wegingsfactor!$D385:$D398,Volumes!H525:H538)</f>
        <v>507300.76369879214</v>
      </c>
      <c r="I35" s="27">
        <f>SUMPRODUCT(Wegingsfactor!$D385:$D398,Volumes!I525:I538)</f>
        <v>536717.7961972625</v>
      </c>
      <c r="J35" s="27">
        <f>SUMPRODUCT(Wegingsfactor!$D385:$D398,Volumes!J525:J538)</f>
        <v>556473.7510120772</v>
      </c>
      <c r="K35" s="27">
        <f>SUMPRODUCT(Wegingsfactor!$D385:$D398,Volumes!K525:K538)</f>
        <v>537683.945826892</v>
      </c>
      <c r="L35" s="27">
        <f>SUMPRODUCT(Wegingsfactor!$D385:$D398,Volumes!L525:L538)</f>
        <v>381280.5729327697</v>
      </c>
      <c r="M35" s="27">
        <f>SUM(E35:L35)</f>
        <v>3699153.3390499996</v>
      </c>
      <c r="N35" s="85"/>
    </row>
    <row r="36" spans="2:14" s="26" customFormat="1" ht="11.25">
      <c r="B36" s="71" t="s">
        <v>256</v>
      </c>
      <c r="C36" s="71"/>
      <c r="D36" s="71"/>
      <c r="E36" s="27">
        <f>SUMPRODUCT(Wegingsfactor!$D404:$D416,Volumes!E543:E555)</f>
        <v>8.402733975126482</v>
      </c>
      <c r="F36" s="27">
        <f>SUMPRODUCT(Wegingsfactor!$D404:$D416,Volumes!F543:F555)</f>
        <v>24.138869974313593</v>
      </c>
      <c r="G36" s="27">
        <f>SUMPRODUCT(Wegingsfactor!$D404:$D416,Volumes!G543:G555)</f>
        <v>1.92069590170002</v>
      </c>
      <c r="H36" s="27">
        <f>SUMPRODUCT(Wegingsfactor!$D404:$D416,Volumes!H543:H555)</f>
        <v>24.138869974313593</v>
      </c>
      <c r="I36" s="27">
        <f>SUMPRODUCT(Wegingsfactor!$D404:$D416,Volumes!I543:I555)</f>
        <v>24.138869974313593</v>
      </c>
      <c r="J36" s="27">
        <f>SUMPRODUCT(Wegingsfactor!$D404:$D416,Volumes!J543:J555)</f>
        <v>8.402733975126482</v>
      </c>
      <c r="K36" s="27">
        <f>SUMPRODUCT(Wegingsfactor!$D404:$D416,Volumes!K543:K555)</f>
        <v>24.138869974313593</v>
      </c>
      <c r="L36" s="27">
        <f>SUMPRODUCT(Wegingsfactor!$D404:$D416,Volumes!L543:L555)</f>
        <v>10.323429876826502</v>
      </c>
      <c r="M36" s="27">
        <f>SUM(E36:L36)</f>
        <v>125.60507362603386</v>
      </c>
      <c r="N36" s="85"/>
    </row>
    <row r="38" spans="2:14" ht="12.75">
      <c r="B38" s="29" t="s">
        <v>214</v>
      </c>
      <c r="C38" s="29"/>
      <c r="D38" s="29"/>
      <c r="E38" s="28">
        <f aca="true" t="shared" si="3" ref="E38:L38">SUM(E33:E36)</f>
        <v>148308.50380871008</v>
      </c>
      <c r="F38" s="28">
        <f t="shared" si="3"/>
        <v>520161.7884199746</v>
      </c>
      <c r="G38" s="28">
        <f t="shared" si="3"/>
        <v>551372.6728301065</v>
      </c>
      <c r="H38" s="28">
        <f t="shared" si="3"/>
        <v>524371.5520218941</v>
      </c>
      <c r="I38" s="28">
        <f t="shared" si="3"/>
        <v>561648.2997959525</v>
      </c>
      <c r="J38" s="28">
        <f t="shared" si="3"/>
        <v>563033.0435680366</v>
      </c>
      <c r="K38" s="28">
        <f t="shared" si="3"/>
        <v>565379.031033989</v>
      </c>
      <c r="L38" s="28">
        <f t="shared" si="3"/>
        <v>395117.4722659481</v>
      </c>
      <c r="M38" s="429">
        <f>SUM(E38:L38)</f>
        <v>3829392.3637446114</v>
      </c>
      <c r="N38" s="87"/>
    </row>
    <row r="40" spans="2:4" s="5" customFormat="1" ht="12.75">
      <c r="B40" s="6" t="s">
        <v>569</v>
      </c>
      <c r="C40" s="6"/>
      <c r="D40" s="6"/>
    </row>
    <row r="41" spans="13:14" s="25" customFormat="1" ht="12.75">
      <c r="M41" s="89"/>
      <c r="N41" s="89"/>
    </row>
    <row r="42" spans="2:14" s="26" customFormat="1" ht="11.25">
      <c r="B42" s="69" t="s">
        <v>258</v>
      </c>
      <c r="C42" s="69"/>
      <c r="D42" s="69"/>
      <c r="E42" s="27">
        <f>SUMPRODUCT(Wegingsfactor!$D259:$D369,Rekenvol!E137:E247)</f>
        <v>5186.614559261726</v>
      </c>
      <c r="F42" s="27">
        <f>SUMPRODUCT(Wegingsfactor!$D259:$D369,Rekenvol!F137:F247)</f>
        <v>13506.9982780255</v>
      </c>
      <c r="G42" s="27">
        <f>SUMPRODUCT(Wegingsfactor!$D259:$D369,Rekenvol!G137:G247)</f>
        <v>8791.995400796617</v>
      </c>
      <c r="H42" s="27">
        <f>SUMPRODUCT(Wegingsfactor!$D259:$D369,Rekenvol!H137:H247)</f>
        <v>11190.038124080414</v>
      </c>
      <c r="I42" s="27">
        <f>SUMPRODUCT(Wegingsfactor!$D259:$D369,Rekenvol!I137:I247)</f>
        <v>19045.40419257009</v>
      </c>
      <c r="J42" s="27">
        <f>SUMPRODUCT(Wegingsfactor!$D259:$D369,Rekenvol!J137:J247)</f>
        <v>5642.0640592213695</v>
      </c>
      <c r="K42" s="27">
        <f>SUMPRODUCT(Wegingsfactor!$D259:$D369,Rekenvol!K137:K247)</f>
        <v>21809.985800977087</v>
      </c>
      <c r="L42" s="27">
        <f>SUMPRODUCT(Wegingsfactor!$D259:$D369,Rekenvol!L137:L247)</f>
        <v>7965.615367155873</v>
      </c>
      <c r="M42" s="27">
        <f>SUM(E42:L42)</f>
        <v>93138.71578208868</v>
      </c>
      <c r="N42" s="85"/>
    </row>
    <row r="43" spans="2:14" s="26" customFormat="1" ht="11.25">
      <c r="B43" s="72" t="s">
        <v>252</v>
      </c>
      <c r="C43" s="72"/>
      <c r="D43" s="72"/>
      <c r="E43" s="27">
        <f>SUMPRODUCT(Wegingsfactor!$D374:$D381,Rekenvol!E251:E258)</f>
        <v>904.4640663589162</v>
      </c>
      <c r="F43" s="27">
        <f>SUMPRODUCT(Wegingsfactor!$D374:$D381,Rekenvol!F251:F258)</f>
        <v>5860.96053614566</v>
      </c>
      <c r="G43" s="27">
        <f>SUMPRODUCT(Wegingsfactor!$D374:$D381,Rekenvol!G251:G258)</f>
        <v>5860.96053614566</v>
      </c>
      <c r="H43" s="27">
        <f>SUMPRODUCT(Wegingsfactor!$D374:$D381,Rekenvol!H251:H258)</f>
        <v>5856.598839741561</v>
      </c>
      <c r="I43" s="27">
        <f>SUMPRODUCT(Wegingsfactor!$D374:$D381,Rekenvol!I251:I258)</f>
        <v>5860.96053614566</v>
      </c>
      <c r="J43" s="27">
        <f>SUMPRODUCT(Wegingsfactor!$D374:$D381,Rekenvol!J251:J258)</f>
        <v>908.8257627630145</v>
      </c>
      <c r="K43" s="27">
        <f>SUMPRODUCT(Wegingsfactor!$D374:$D381,Rekenvol!K251:K258)</f>
        <v>5860.96053614566</v>
      </c>
      <c r="L43" s="27">
        <f>SUMPRODUCT(Wegingsfactor!$D374:$D381,Rekenvol!L251:L258)</f>
        <v>5860.96053614566</v>
      </c>
      <c r="M43" s="27">
        <f>SUM(E43:L43)</f>
        <v>36974.69134959179</v>
      </c>
      <c r="N43" s="85"/>
    </row>
    <row r="44" spans="2:14" s="26" customFormat="1" ht="11.25">
      <c r="B44" s="72" t="s">
        <v>254</v>
      </c>
      <c r="C44" s="72"/>
      <c r="D44" s="72"/>
      <c r="E44" s="27">
        <f>SUMPRODUCT(Wegingsfactor!$D385:$D398,Rekenvol!E262:E275)</f>
        <v>142209.02244911433</v>
      </c>
      <c r="F44" s="27">
        <f>SUMPRODUCT(Wegingsfactor!$D385:$D398,Rekenvol!F262:F275)</f>
        <v>500769.6907358292</v>
      </c>
      <c r="G44" s="27">
        <f>SUMPRODUCT(Wegingsfactor!$D385:$D398,Rekenvol!G262:G275)</f>
        <v>536717.7961972625</v>
      </c>
      <c r="H44" s="27">
        <f>SUMPRODUCT(Wegingsfactor!$D385:$D398,Rekenvol!H262:H275)</f>
        <v>507300.76369879214</v>
      </c>
      <c r="I44" s="27">
        <f>SUMPRODUCT(Wegingsfactor!$D385:$D398,Rekenvol!I262:I275)</f>
        <v>536717.7961972625</v>
      </c>
      <c r="J44" s="27">
        <f>SUMPRODUCT(Wegingsfactor!$D385:$D398,Rekenvol!J262:J275)</f>
        <v>556473.7510120772</v>
      </c>
      <c r="K44" s="27">
        <f>SUMPRODUCT(Wegingsfactor!$D385:$D398,Rekenvol!K262:K275)</f>
        <v>537683.945826892</v>
      </c>
      <c r="L44" s="27">
        <f>SUMPRODUCT(Wegingsfactor!$D385:$D398,Rekenvol!L262:L275)</f>
        <v>381280.5729327697</v>
      </c>
      <c r="M44" s="27">
        <f>SUM(E44:L44)</f>
        <v>3699153.3390499996</v>
      </c>
      <c r="N44" s="85"/>
    </row>
    <row r="45" spans="2:14" s="26" customFormat="1" ht="11.25">
      <c r="B45" s="71" t="s">
        <v>256</v>
      </c>
      <c r="C45" s="71"/>
      <c r="D45" s="71"/>
      <c r="E45" s="27">
        <f>SUMPRODUCT(Wegingsfactor!$D404:$D416,Rekenvol!E280:E292)</f>
        <v>8.402733975126482</v>
      </c>
      <c r="F45" s="27">
        <f>SUMPRODUCT(Wegingsfactor!$D404:$D416,Rekenvol!F280:F292)</f>
        <v>24.138869974313593</v>
      </c>
      <c r="G45" s="27">
        <f>SUMPRODUCT(Wegingsfactor!$D404:$D416,Rekenvol!G280:G292)</f>
        <v>1.92069590170002</v>
      </c>
      <c r="H45" s="27">
        <f>SUMPRODUCT(Wegingsfactor!$D404:$D416,Rekenvol!H280:H292)</f>
        <v>24.138869974313593</v>
      </c>
      <c r="I45" s="27">
        <f>SUMPRODUCT(Wegingsfactor!$D404:$D416,Rekenvol!I280:I292)</f>
        <v>24.138869974313593</v>
      </c>
      <c r="J45" s="27">
        <f>SUMPRODUCT(Wegingsfactor!$D404:$D416,Rekenvol!J280:J292)</f>
        <v>8.402733975126482</v>
      </c>
      <c r="K45" s="27">
        <f>SUMPRODUCT(Wegingsfactor!$D404:$D416,Rekenvol!K280:K292)</f>
        <v>24.138869974313593</v>
      </c>
      <c r="L45" s="27">
        <f>SUMPRODUCT(Wegingsfactor!$D404:$D416,Rekenvol!L280:L292)</f>
        <v>10.323429876826502</v>
      </c>
      <c r="M45" s="27">
        <f>SUM(E45:L45)</f>
        <v>125.60507362603386</v>
      </c>
      <c r="N45" s="85"/>
    </row>
    <row r="47" spans="2:14" ht="12.75">
      <c r="B47" s="29" t="s">
        <v>281</v>
      </c>
      <c r="C47" s="29"/>
      <c r="D47" s="29"/>
      <c r="E47" s="28">
        <f aca="true" t="shared" si="4" ref="E47:L47">SUM(E42:E45)</f>
        <v>148308.50380871008</v>
      </c>
      <c r="F47" s="28">
        <f t="shared" si="4"/>
        <v>520161.7884199746</v>
      </c>
      <c r="G47" s="28">
        <f t="shared" si="4"/>
        <v>551372.6728301065</v>
      </c>
      <c r="H47" s="28">
        <f t="shared" si="4"/>
        <v>524371.5395325884</v>
      </c>
      <c r="I47" s="28">
        <f t="shared" si="4"/>
        <v>561648.2997959525</v>
      </c>
      <c r="J47" s="28">
        <f t="shared" si="4"/>
        <v>563033.0435680366</v>
      </c>
      <c r="K47" s="28">
        <f t="shared" si="4"/>
        <v>565379.031033989</v>
      </c>
      <c r="L47" s="28">
        <f t="shared" si="4"/>
        <v>395117.4722659481</v>
      </c>
      <c r="M47" s="429">
        <f>SUM(E47:L47)</f>
        <v>3829392.351255306</v>
      </c>
      <c r="N47" s="87"/>
    </row>
    <row r="50" spans="4:13" ht="12.75">
      <c r="D50" s="29"/>
      <c r="E50" s="432"/>
      <c r="F50" s="432"/>
      <c r="G50" s="432"/>
      <c r="H50" s="432"/>
      <c r="I50" s="432"/>
      <c r="J50" s="432"/>
      <c r="K50" s="432"/>
      <c r="L50" s="432"/>
      <c r="M50" s="432"/>
    </row>
    <row r="51" spans="4:13" ht="12.75">
      <c r="D51" s="29"/>
      <c r="E51" s="432"/>
      <c r="F51" s="432"/>
      <c r="G51" s="432"/>
      <c r="H51" s="432"/>
      <c r="I51" s="432"/>
      <c r="J51" s="432"/>
      <c r="K51" s="432"/>
      <c r="L51" s="432"/>
      <c r="M51" s="432"/>
    </row>
    <row r="52" spans="5:13" ht="12.75">
      <c r="E52" s="433"/>
      <c r="F52" s="433"/>
      <c r="G52" s="433"/>
      <c r="H52" s="433"/>
      <c r="I52" s="433"/>
      <c r="J52" s="433"/>
      <c r="K52" s="433"/>
      <c r="L52" s="433"/>
      <c r="M52" s="433"/>
    </row>
    <row r="53" spans="5:12" ht="12.75">
      <c r="E53" s="433"/>
      <c r="F53" s="433"/>
      <c r="G53" s="433"/>
      <c r="H53" s="433"/>
      <c r="I53" s="433"/>
      <c r="J53" s="433"/>
      <c r="K53" s="433"/>
      <c r="L53" s="433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/>
  <dimension ref="B1:Q539"/>
  <sheetViews>
    <sheetView showGridLines="0" zoomScale="85" zoomScaleNormal="85" workbookViewId="0" topLeftCell="A1">
      <pane xSplit="4" ySplit="2" topLeftCell="E3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D7" sqref="D7"/>
    </sheetView>
  </sheetViews>
  <sheetFormatPr defaultColWidth="9.140625" defaultRowHeight="12.75" outlineLevelRow="1"/>
  <cols>
    <col min="1" max="1" width="2.7109375" style="67" customWidth="1"/>
    <col min="2" max="2" width="57.421875" style="450" customWidth="1"/>
    <col min="3" max="3" width="6.7109375" style="67" customWidth="1"/>
    <col min="4" max="4" width="11.140625" style="67" customWidth="1"/>
    <col min="5" max="5" width="14.8515625" style="67" customWidth="1"/>
    <col min="6" max="7" width="13.28125" style="67" bestFit="1" customWidth="1"/>
    <col min="8" max="8" width="14.57421875" style="67" bestFit="1" customWidth="1"/>
    <col min="9" max="9" width="12.7109375" style="67" bestFit="1" customWidth="1"/>
    <col min="10" max="11" width="14.57421875" style="67" bestFit="1" customWidth="1"/>
    <col min="12" max="12" width="13.28125" style="67" bestFit="1" customWidth="1"/>
    <col min="13" max="13" width="3.28125" style="68" customWidth="1"/>
    <col min="14" max="16384" width="9.140625" style="67" customWidth="1"/>
  </cols>
  <sheetData>
    <row r="1" ht="12.75">
      <c r="C1" s="450"/>
    </row>
    <row r="2" spans="2:13" s="63" customFormat="1" ht="114" customHeight="1">
      <c r="B2" s="62" t="s">
        <v>124</v>
      </c>
      <c r="C2" s="62"/>
      <c r="D2" s="62"/>
      <c r="E2" s="4" t="s">
        <v>146</v>
      </c>
      <c r="F2" s="4" t="s">
        <v>29</v>
      </c>
      <c r="G2" s="4" t="s">
        <v>455</v>
      </c>
      <c r="H2" s="4" t="s">
        <v>148</v>
      </c>
      <c r="I2" s="4" t="s">
        <v>150</v>
      </c>
      <c r="J2" s="4" t="s">
        <v>151</v>
      </c>
      <c r="K2" s="4" t="s">
        <v>147</v>
      </c>
      <c r="L2" s="4" t="s">
        <v>30</v>
      </c>
      <c r="M2" s="4"/>
    </row>
    <row r="3" ht="12.75">
      <c r="C3" s="450"/>
    </row>
    <row r="4" spans="2:3" s="65" customFormat="1" ht="12.75">
      <c r="B4" s="64" t="s">
        <v>215</v>
      </c>
      <c r="C4" s="64"/>
    </row>
    <row r="5" spans="2:3" ht="12.75">
      <c r="B5" s="84"/>
      <c r="C5" s="84"/>
    </row>
    <row r="6" spans="2:12" ht="12.75" outlineLevel="1">
      <c r="B6" s="445" t="s">
        <v>229</v>
      </c>
      <c r="C6" s="444"/>
      <c r="E6" s="442"/>
      <c r="F6" s="442"/>
      <c r="G6" s="442"/>
      <c r="H6" s="442"/>
      <c r="I6" s="442"/>
      <c r="J6" s="442"/>
      <c r="K6" s="442"/>
      <c r="L6" s="442"/>
    </row>
    <row r="7" spans="2:12" ht="12.75" outlineLevel="1">
      <c r="B7" s="444" t="s">
        <v>230</v>
      </c>
      <c r="C7" s="444" t="s">
        <v>45</v>
      </c>
      <c r="E7" s="440">
        <v>0</v>
      </c>
      <c r="F7" s="440">
        <v>0</v>
      </c>
      <c r="G7" s="440">
        <v>0</v>
      </c>
      <c r="H7" s="440">
        <v>0</v>
      </c>
      <c r="I7" s="440">
        <v>2760</v>
      </c>
      <c r="J7" s="440">
        <v>0</v>
      </c>
      <c r="K7" s="440">
        <v>2760</v>
      </c>
      <c r="L7" s="440">
        <v>0</v>
      </c>
    </row>
    <row r="8" spans="2:12" ht="12.75" outlineLevel="1">
      <c r="B8" s="444"/>
      <c r="C8" s="444"/>
      <c r="E8" s="441"/>
      <c r="F8" s="441"/>
      <c r="G8" s="441"/>
      <c r="H8" s="441"/>
      <c r="I8" s="441"/>
      <c r="J8" s="441"/>
      <c r="K8" s="441"/>
      <c r="L8" s="441"/>
    </row>
    <row r="9" spans="2:12" ht="12.75" outlineLevel="1">
      <c r="B9" s="444" t="s">
        <v>231</v>
      </c>
      <c r="C9" s="444" t="s">
        <v>45</v>
      </c>
      <c r="E9" s="440">
        <v>0</v>
      </c>
      <c r="F9" s="440">
        <v>0</v>
      </c>
      <c r="G9" s="440">
        <v>0</v>
      </c>
      <c r="H9" s="440">
        <v>0</v>
      </c>
      <c r="I9" s="440">
        <v>6.84</v>
      </c>
      <c r="J9" s="440">
        <v>0</v>
      </c>
      <c r="K9" s="440">
        <v>8.52</v>
      </c>
      <c r="L9" s="440">
        <v>0</v>
      </c>
    </row>
    <row r="10" spans="2:12" ht="12.75" outlineLevel="1">
      <c r="B10" s="444" t="s">
        <v>232</v>
      </c>
      <c r="C10" s="444" t="s">
        <v>45</v>
      </c>
      <c r="E10" s="440">
        <v>0</v>
      </c>
      <c r="F10" s="440">
        <v>0</v>
      </c>
      <c r="G10" s="440">
        <v>0</v>
      </c>
      <c r="H10" s="440">
        <v>0</v>
      </c>
      <c r="I10" s="440">
        <v>0.63</v>
      </c>
      <c r="J10" s="440">
        <v>0</v>
      </c>
      <c r="K10" s="440">
        <v>0.85</v>
      </c>
      <c r="L10" s="440">
        <v>0</v>
      </c>
    </row>
    <row r="11" spans="2:12" ht="12.75" outlineLevel="1">
      <c r="B11" s="444"/>
      <c r="C11" s="444"/>
      <c r="E11" s="441"/>
      <c r="F11" s="441"/>
      <c r="G11" s="441"/>
      <c r="H11" s="441"/>
      <c r="I11" s="441"/>
      <c r="J11" s="441"/>
      <c r="K11" s="441"/>
      <c r="L11" s="441"/>
    </row>
    <row r="12" spans="2:12" ht="12.75" outlineLevel="1">
      <c r="B12" s="444" t="s">
        <v>234</v>
      </c>
      <c r="C12" s="444" t="s">
        <v>45</v>
      </c>
      <c r="E12" s="440">
        <v>0</v>
      </c>
      <c r="F12" s="440">
        <v>0</v>
      </c>
      <c r="G12" s="440">
        <v>0</v>
      </c>
      <c r="H12" s="440">
        <v>0</v>
      </c>
      <c r="I12" s="440">
        <v>0</v>
      </c>
      <c r="J12" s="440">
        <v>0</v>
      </c>
      <c r="K12" s="440">
        <v>0</v>
      </c>
      <c r="L12" s="440">
        <v>0</v>
      </c>
    </row>
    <row r="13" spans="2:12" ht="12.75" outlineLevel="1">
      <c r="B13" s="444" t="s">
        <v>275</v>
      </c>
      <c r="C13" s="444"/>
      <c r="E13" s="441"/>
      <c r="F13" s="441"/>
      <c r="G13" s="441"/>
      <c r="H13" s="441"/>
      <c r="I13" s="441"/>
      <c r="J13" s="441"/>
      <c r="K13" s="441"/>
      <c r="L13" s="441"/>
    </row>
    <row r="14" spans="2:12" ht="12.75" outlineLevel="1">
      <c r="B14" s="445" t="s">
        <v>260</v>
      </c>
      <c r="C14" s="444"/>
      <c r="E14" s="441"/>
      <c r="F14" s="441"/>
      <c r="G14" s="441"/>
      <c r="H14" s="441"/>
      <c r="I14" s="441"/>
      <c r="J14" s="441"/>
      <c r="K14" s="441"/>
      <c r="L14" s="441"/>
    </row>
    <row r="15" spans="2:12" ht="12.75" outlineLevel="1">
      <c r="B15" s="444" t="s">
        <v>230</v>
      </c>
      <c r="C15" s="444" t="s">
        <v>45</v>
      </c>
      <c r="E15" s="440">
        <v>0</v>
      </c>
      <c r="F15" s="440">
        <v>0</v>
      </c>
      <c r="G15" s="440">
        <v>0</v>
      </c>
      <c r="H15" s="440">
        <v>0</v>
      </c>
      <c r="I15" s="440">
        <v>0</v>
      </c>
      <c r="J15" s="440">
        <v>0</v>
      </c>
      <c r="K15" s="440">
        <v>2760</v>
      </c>
      <c r="L15" s="440">
        <v>0</v>
      </c>
    </row>
    <row r="16" spans="2:12" ht="12.75" outlineLevel="1">
      <c r="B16" s="444"/>
      <c r="C16" s="444"/>
      <c r="E16" s="441"/>
      <c r="F16" s="441"/>
      <c r="G16" s="441"/>
      <c r="H16" s="441"/>
      <c r="I16" s="441"/>
      <c r="J16" s="441"/>
      <c r="K16" s="441"/>
      <c r="L16" s="441"/>
    </row>
    <row r="17" spans="2:12" ht="12.75" outlineLevel="1">
      <c r="B17" s="444" t="s">
        <v>231</v>
      </c>
      <c r="C17" s="444" t="s">
        <v>45</v>
      </c>
      <c r="E17" s="440">
        <v>0</v>
      </c>
      <c r="F17" s="440">
        <v>0</v>
      </c>
      <c r="G17" s="440">
        <v>0</v>
      </c>
      <c r="H17" s="440">
        <v>0</v>
      </c>
      <c r="I17" s="440">
        <v>0</v>
      </c>
      <c r="J17" s="440">
        <v>0</v>
      </c>
      <c r="K17" s="440">
        <v>4.26</v>
      </c>
      <c r="L17" s="440">
        <v>0</v>
      </c>
    </row>
    <row r="18" spans="2:12" ht="12.75" outlineLevel="1">
      <c r="B18" s="444" t="s">
        <v>236</v>
      </c>
      <c r="C18" s="444" t="s">
        <v>45</v>
      </c>
      <c r="E18" s="440">
        <v>0</v>
      </c>
      <c r="F18" s="440">
        <v>0</v>
      </c>
      <c r="G18" s="440">
        <v>0</v>
      </c>
      <c r="H18" s="440">
        <v>0</v>
      </c>
      <c r="I18" s="440">
        <v>0</v>
      </c>
      <c r="J18" s="440">
        <v>0</v>
      </c>
      <c r="K18" s="440">
        <v>0.29</v>
      </c>
      <c r="L18" s="440">
        <v>0</v>
      </c>
    </row>
    <row r="19" spans="2:12" ht="12.75" outlineLevel="1">
      <c r="B19" s="444"/>
      <c r="C19" s="444"/>
      <c r="E19" s="441"/>
      <c r="F19" s="441"/>
      <c r="G19" s="441"/>
      <c r="H19" s="441"/>
      <c r="I19" s="441"/>
      <c r="J19" s="441"/>
      <c r="K19" s="441"/>
      <c r="L19" s="441"/>
    </row>
    <row r="20" spans="2:12" ht="12.75" outlineLevel="1">
      <c r="B20" s="444" t="s">
        <v>234</v>
      </c>
      <c r="C20" s="444" t="s">
        <v>45</v>
      </c>
      <c r="E20" s="440">
        <v>0</v>
      </c>
      <c r="F20" s="440">
        <v>0</v>
      </c>
      <c r="G20" s="440">
        <v>0</v>
      </c>
      <c r="H20" s="440">
        <v>0</v>
      </c>
      <c r="I20" s="440">
        <v>0</v>
      </c>
      <c r="J20" s="440">
        <v>0</v>
      </c>
      <c r="K20" s="440">
        <v>0.006</v>
      </c>
      <c r="L20" s="440">
        <v>0</v>
      </c>
    </row>
    <row r="21" spans="2:12" ht="12.75" outlineLevel="1">
      <c r="B21" s="444" t="s">
        <v>275</v>
      </c>
      <c r="C21" s="444"/>
      <c r="E21" s="441"/>
      <c r="F21" s="441"/>
      <c r="G21" s="441"/>
      <c r="H21" s="441"/>
      <c r="I21" s="441"/>
      <c r="J21" s="441"/>
      <c r="K21" s="441"/>
      <c r="L21" s="441"/>
    </row>
    <row r="22" spans="2:17" ht="12.75" outlineLevel="1">
      <c r="B22" s="445" t="s">
        <v>237</v>
      </c>
      <c r="C22" s="444"/>
      <c r="E22" s="441"/>
      <c r="F22" s="441"/>
      <c r="G22" s="441"/>
      <c r="H22" s="441"/>
      <c r="I22" s="441"/>
      <c r="J22" s="441"/>
      <c r="K22" s="441"/>
      <c r="L22" s="441"/>
      <c r="N22" s="68"/>
      <c r="O22" s="68"/>
      <c r="P22" s="68"/>
      <c r="Q22" s="68"/>
    </row>
    <row r="23" spans="2:12" ht="12.75" outlineLevel="1">
      <c r="B23" s="444" t="s">
        <v>230</v>
      </c>
      <c r="C23" s="444" t="s">
        <v>45</v>
      </c>
      <c r="E23" s="440">
        <v>0</v>
      </c>
      <c r="F23" s="440">
        <v>2760</v>
      </c>
      <c r="G23" s="440">
        <v>0</v>
      </c>
      <c r="H23" s="440">
        <v>2760</v>
      </c>
      <c r="I23" s="440">
        <v>2760</v>
      </c>
      <c r="J23" s="440">
        <v>0</v>
      </c>
      <c r="K23" s="440">
        <v>2760</v>
      </c>
      <c r="L23" s="440">
        <v>0</v>
      </c>
    </row>
    <row r="24" spans="2:12" ht="12.75" outlineLevel="1">
      <c r="B24" s="444"/>
      <c r="C24" s="444"/>
      <c r="E24" s="441"/>
      <c r="F24" s="441"/>
      <c r="G24" s="441"/>
      <c r="H24" s="441"/>
      <c r="I24" s="441"/>
      <c r="J24" s="441"/>
      <c r="K24" s="441"/>
      <c r="L24" s="441"/>
    </row>
    <row r="25" spans="2:12" ht="12.75" outlineLevel="1">
      <c r="B25" s="444" t="s">
        <v>231</v>
      </c>
      <c r="C25" s="444" t="s">
        <v>45</v>
      </c>
      <c r="E25" s="440">
        <v>0</v>
      </c>
      <c r="F25" s="440">
        <v>6</v>
      </c>
      <c r="G25" s="440">
        <v>0</v>
      </c>
      <c r="H25" s="440">
        <v>11.07</v>
      </c>
      <c r="I25" s="440">
        <v>17.28</v>
      </c>
      <c r="J25" s="440">
        <v>0</v>
      </c>
      <c r="K25" s="440">
        <v>14.16</v>
      </c>
      <c r="L25" s="440">
        <v>0</v>
      </c>
    </row>
    <row r="26" spans="2:12" ht="12.75" outlineLevel="1">
      <c r="B26" s="444" t="s">
        <v>232</v>
      </c>
      <c r="C26" s="444" t="s">
        <v>45</v>
      </c>
      <c r="E26" s="440">
        <v>0</v>
      </c>
      <c r="F26" s="440">
        <v>0.57</v>
      </c>
      <c r="G26" s="440">
        <v>0</v>
      </c>
      <c r="H26" s="440">
        <v>0.91</v>
      </c>
      <c r="I26" s="440">
        <v>1.64</v>
      </c>
      <c r="J26" s="440">
        <v>0</v>
      </c>
      <c r="K26" s="440">
        <v>1.58</v>
      </c>
      <c r="L26" s="440">
        <v>0</v>
      </c>
    </row>
    <row r="27" spans="2:12" ht="12.75" outlineLevel="1">
      <c r="B27" s="444"/>
      <c r="C27" s="444"/>
      <c r="E27" s="441"/>
      <c r="F27" s="441"/>
      <c r="G27" s="441"/>
      <c r="H27" s="441"/>
      <c r="I27" s="441"/>
      <c r="J27" s="441"/>
      <c r="K27" s="441"/>
      <c r="L27" s="441"/>
    </row>
    <row r="28" spans="2:12" ht="12.75" outlineLevel="1">
      <c r="B28" s="444" t="s">
        <v>234</v>
      </c>
      <c r="C28" s="444" t="s">
        <v>45</v>
      </c>
      <c r="E28" s="440">
        <v>0</v>
      </c>
      <c r="F28" s="440">
        <v>0</v>
      </c>
      <c r="G28" s="440">
        <v>0</v>
      </c>
      <c r="H28" s="440">
        <v>0.006</v>
      </c>
      <c r="I28" s="440">
        <v>0</v>
      </c>
      <c r="J28" s="440">
        <v>0</v>
      </c>
      <c r="K28" s="440">
        <v>0.006</v>
      </c>
      <c r="L28" s="440">
        <v>0</v>
      </c>
    </row>
    <row r="29" spans="2:12" ht="12.75" outlineLevel="1">
      <c r="B29" s="444" t="s">
        <v>275</v>
      </c>
      <c r="C29" s="444"/>
      <c r="E29" s="441"/>
      <c r="F29" s="441"/>
      <c r="G29" s="441"/>
      <c r="H29" s="441"/>
      <c r="I29" s="441"/>
      <c r="J29" s="441"/>
      <c r="K29" s="441"/>
      <c r="L29" s="441"/>
    </row>
    <row r="30" spans="2:12" ht="12.75" outlineLevel="1">
      <c r="B30" s="445" t="s">
        <v>261</v>
      </c>
      <c r="C30" s="444"/>
      <c r="E30" s="441"/>
      <c r="F30" s="441"/>
      <c r="G30" s="441"/>
      <c r="H30" s="441"/>
      <c r="I30" s="441"/>
      <c r="J30" s="441"/>
      <c r="K30" s="441"/>
      <c r="L30" s="441"/>
    </row>
    <row r="31" spans="2:12" ht="12.75" outlineLevel="1">
      <c r="B31" s="444" t="s">
        <v>230</v>
      </c>
      <c r="C31" s="444" t="s">
        <v>45</v>
      </c>
      <c r="E31" s="440">
        <v>0</v>
      </c>
      <c r="F31" s="440">
        <v>0</v>
      </c>
      <c r="G31" s="440">
        <v>0</v>
      </c>
      <c r="H31" s="440">
        <v>2760</v>
      </c>
      <c r="I31" s="440">
        <v>2760</v>
      </c>
      <c r="J31" s="440">
        <v>0</v>
      </c>
      <c r="K31" s="440">
        <v>2760</v>
      </c>
      <c r="L31" s="440">
        <v>0</v>
      </c>
    </row>
    <row r="32" spans="2:12" ht="12.75" outlineLevel="1">
      <c r="B32" s="444"/>
      <c r="C32" s="444"/>
      <c r="E32" s="441"/>
      <c r="F32" s="441"/>
      <c r="G32" s="441"/>
      <c r="H32" s="441"/>
      <c r="I32" s="441"/>
      <c r="J32" s="441"/>
      <c r="K32" s="441"/>
      <c r="L32" s="441"/>
    </row>
    <row r="33" spans="2:12" ht="12.75" outlineLevel="1">
      <c r="B33" s="444" t="s">
        <v>231</v>
      </c>
      <c r="C33" s="444" t="s">
        <v>45</v>
      </c>
      <c r="E33" s="440">
        <v>0</v>
      </c>
      <c r="F33" s="440">
        <v>0</v>
      </c>
      <c r="G33" s="440">
        <v>0</v>
      </c>
      <c r="H33" s="440">
        <v>5.54</v>
      </c>
      <c r="I33" s="440">
        <v>8.64</v>
      </c>
      <c r="J33" s="440">
        <v>0</v>
      </c>
      <c r="K33" s="440">
        <v>7.08</v>
      </c>
      <c r="L33" s="440">
        <v>0</v>
      </c>
    </row>
    <row r="34" spans="2:12" ht="12.75" outlineLevel="1">
      <c r="B34" s="444" t="s">
        <v>236</v>
      </c>
      <c r="C34" s="444" t="s">
        <v>45</v>
      </c>
      <c r="E34" s="440">
        <v>0</v>
      </c>
      <c r="F34" s="440">
        <v>0</v>
      </c>
      <c r="G34" s="440">
        <v>0</v>
      </c>
      <c r="H34" s="440">
        <v>0.32</v>
      </c>
      <c r="I34" s="440">
        <v>0.56</v>
      </c>
      <c r="J34" s="440">
        <v>0</v>
      </c>
      <c r="K34" s="440">
        <v>0.55</v>
      </c>
      <c r="L34" s="440">
        <v>0</v>
      </c>
    </row>
    <row r="35" spans="2:12" ht="12.75" outlineLevel="1">
      <c r="B35" s="444"/>
      <c r="C35" s="444"/>
      <c r="E35" s="441"/>
      <c r="F35" s="441"/>
      <c r="G35" s="441"/>
      <c r="H35" s="441"/>
      <c r="I35" s="441"/>
      <c r="J35" s="441"/>
      <c r="K35" s="441"/>
      <c r="L35" s="441"/>
    </row>
    <row r="36" spans="2:12" ht="12.75" outlineLevel="1">
      <c r="B36" s="444" t="s">
        <v>234</v>
      </c>
      <c r="C36" s="444" t="s">
        <v>45</v>
      </c>
      <c r="E36" s="440">
        <v>0</v>
      </c>
      <c r="F36" s="440">
        <v>0</v>
      </c>
      <c r="G36" s="440">
        <v>0</v>
      </c>
      <c r="H36" s="440">
        <v>0.006</v>
      </c>
      <c r="I36" s="440">
        <v>0</v>
      </c>
      <c r="J36" s="440">
        <v>0</v>
      </c>
      <c r="K36" s="440">
        <v>0.006</v>
      </c>
      <c r="L36" s="440">
        <v>0</v>
      </c>
    </row>
    <row r="37" spans="2:12" ht="12.75" outlineLevel="1">
      <c r="B37" s="444" t="s">
        <v>275</v>
      </c>
      <c r="C37" s="444"/>
      <c r="E37" s="441"/>
      <c r="F37" s="441"/>
      <c r="G37" s="441"/>
      <c r="H37" s="441"/>
      <c r="I37" s="441"/>
      <c r="J37" s="441"/>
      <c r="K37" s="441"/>
      <c r="L37" s="441"/>
    </row>
    <row r="38" spans="2:12" ht="12.75" outlineLevel="1">
      <c r="B38" s="445" t="s">
        <v>239</v>
      </c>
      <c r="C38" s="444"/>
      <c r="E38" s="441"/>
      <c r="F38" s="441"/>
      <c r="G38" s="441"/>
      <c r="H38" s="441"/>
      <c r="I38" s="441"/>
      <c r="J38" s="441"/>
      <c r="K38" s="441"/>
      <c r="L38" s="441"/>
    </row>
    <row r="39" spans="2:12" ht="12.75" outlineLevel="1">
      <c r="B39" s="444" t="s">
        <v>230</v>
      </c>
      <c r="C39" s="444" t="s">
        <v>45</v>
      </c>
      <c r="E39" s="440">
        <v>0</v>
      </c>
      <c r="F39" s="440">
        <v>2760</v>
      </c>
      <c r="G39" s="440">
        <v>2760</v>
      </c>
      <c r="H39" s="440">
        <v>2760</v>
      </c>
      <c r="I39" s="440">
        <v>2760</v>
      </c>
      <c r="J39" s="440">
        <v>0</v>
      </c>
      <c r="K39" s="440">
        <v>2760</v>
      </c>
      <c r="L39" s="440">
        <v>2760</v>
      </c>
    </row>
    <row r="40" spans="2:12" ht="12.75" outlineLevel="1">
      <c r="B40" s="444"/>
      <c r="C40" s="444"/>
      <c r="E40" s="441"/>
      <c r="F40" s="441"/>
      <c r="G40" s="441"/>
      <c r="H40" s="441"/>
      <c r="I40" s="441"/>
      <c r="J40" s="441"/>
      <c r="K40" s="441"/>
      <c r="L40" s="441"/>
    </row>
    <row r="41" spans="2:12" ht="12.75" outlineLevel="1">
      <c r="B41" s="444" t="s">
        <v>231</v>
      </c>
      <c r="C41" s="444" t="s">
        <v>45</v>
      </c>
      <c r="E41" s="440">
        <v>0</v>
      </c>
      <c r="F41" s="440">
        <v>15.84</v>
      </c>
      <c r="G41" s="440">
        <v>14.39</v>
      </c>
      <c r="H41" s="440">
        <v>14.18</v>
      </c>
      <c r="I41" s="440">
        <v>20.88</v>
      </c>
      <c r="J41" s="440">
        <v>0</v>
      </c>
      <c r="K41" s="440">
        <v>16.56</v>
      </c>
      <c r="L41" s="440">
        <v>22.87</v>
      </c>
    </row>
    <row r="42" spans="2:12" ht="12.75" outlineLevel="1">
      <c r="B42" s="444" t="s">
        <v>232</v>
      </c>
      <c r="C42" s="444" t="s">
        <v>45</v>
      </c>
      <c r="E42" s="440">
        <v>0</v>
      </c>
      <c r="F42" s="440">
        <v>1.55</v>
      </c>
      <c r="G42" s="440">
        <v>1.41</v>
      </c>
      <c r="H42" s="440">
        <v>1.4</v>
      </c>
      <c r="I42" s="440">
        <v>1.73</v>
      </c>
      <c r="J42" s="440">
        <v>0</v>
      </c>
      <c r="K42" s="440">
        <v>1.74</v>
      </c>
      <c r="L42" s="440">
        <v>2.52</v>
      </c>
    </row>
    <row r="43" spans="2:12" ht="12.75" outlineLevel="1">
      <c r="B43" s="444"/>
      <c r="C43" s="444"/>
      <c r="E43" s="441"/>
      <c r="F43" s="441"/>
      <c r="G43" s="441"/>
      <c r="H43" s="441"/>
      <c r="I43" s="441"/>
      <c r="J43" s="441"/>
      <c r="K43" s="441"/>
      <c r="L43" s="441"/>
    </row>
    <row r="44" spans="2:12" ht="12.75" outlineLevel="1">
      <c r="B44" s="444" t="s">
        <v>234</v>
      </c>
      <c r="C44" s="444" t="s">
        <v>45</v>
      </c>
      <c r="E44" s="440">
        <v>0</v>
      </c>
      <c r="F44" s="440">
        <v>0</v>
      </c>
      <c r="G44" s="440">
        <v>0.0064</v>
      </c>
      <c r="H44" s="440">
        <v>0.006</v>
      </c>
      <c r="I44" s="440">
        <v>0</v>
      </c>
      <c r="J44" s="440">
        <v>0</v>
      </c>
      <c r="K44" s="440">
        <v>0.006</v>
      </c>
      <c r="L44" s="440">
        <v>0</v>
      </c>
    </row>
    <row r="45" spans="2:12" ht="12.75" outlineLevel="1">
      <c r="B45" s="444" t="s">
        <v>275</v>
      </c>
      <c r="C45" s="444"/>
      <c r="E45" s="441"/>
      <c r="F45" s="441"/>
      <c r="G45" s="441"/>
      <c r="H45" s="441"/>
      <c r="I45" s="441"/>
      <c r="J45" s="441"/>
      <c r="K45" s="441"/>
      <c r="L45" s="441"/>
    </row>
    <row r="46" spans="2:12" ht="12.75" outlineLevel="1">
      <c r="B46" s="445" t="s">
        <v>262</v>
      </c>
      <c r="C46" s="444"/>
      <c r="E46" s="441"/>
      <c r="F46" s="441"/>
      <c r="G46" s="441"/>
      <c r="H46" s="441"/>
      <c r="I46" s="441"/>
      <c r="J46" s="441"/>
      <c r="K46" s="441"/>
      <c r="L46" s="441"/>
    </row>
    <row r="47" spans="2:12" ht="12.75" outlineLevel="1">
      <c r="B47" s="444" t="s">
        <v>230</v>
      </c>
      <c r="C47" s="444" t="s">
        <v>45</v>
      </c>
      <c r="E47" s="440">
        <v>0</v>
      </c>
      <c r="F47" s="440">
        <v>2760</v>
      </c>
      <c r="G47" s="440">
        <v>0</v>
      </c>
      <c r="H47" s="440">
        <v>2760</v>
      </c>
      <c r="I47" s="440">
        <v>2760</v>
      </c>
      <c r="J47" s="440">
        <v>0</v>
      </c>
      <c r="K47" s="440">
        <v>2760</v>
      </c>
      <c r="L47" s="440">
        <v>0</v>
      </c>
    </row>
    <row r="48" spans="2:12" ht="12.75" outlineLevel="1">
      <c r="B48" s="444"/>
      <c r="C48" s="444"/>
      <c r="E48" s="441"/>
      <c r="F48" s="441"/>
      <c r="G48" s="441"/>
      <c r="H48" s="441"/>
      <c r="I48" s="441"/>
      <c r="J48" s="441"/>
      <c r="K48" s="441"/>
      <c r="L48" s="441"/>
    </row>
    <row r="49" spans="2:12" ht="12.75" outlineLevel="1">
      <c r="B49" s="444" t="s">
        <v>231</v>
      </c>
      <c r="C49" s="444" t="s">
        <v>45</v>
      </c>
      <c r="E49" s="440">
        <v>0</v>
      </c>
      <c r="F49" s="440">
        <v>7.92</v>
      </c>
      <c r="G49" s="440">
        <v>0</v>
      </c>
      <c r="H49" s="440">
        <v>7.09</v>
      </c>
      <c r="I49" s="440">
        <v>10.44</v>
      </c>
      <c r="J49" s="440">
        <v>0</v>
      </c>
      <c r="K49" s="440">
        <v>8.28</v>
      </c>
      <c r="L49" s="440">
        <v>0</v>
      </c>
    </row>
    <row r="50" spans="2:12" ht="12.75" outlineLevel="1">
      <c r="B50" s="444" t="s">
        <v>236</v>
      </c>
      <c r="C50" s="444" t="s">
        <v>45</v>
      </c>
      <c r="E50" s="440">
        <v>0</v>
      </c>
      <c r="F50" s="440">
        <v>0.53</v>
      </c>
      <c r="G50" s="440">
        <v>0</v>
      </c>
      <c r="H50" s="440">
        <v>0.48</v>
      </c>
      <c r="I50" s="440">
        <v>0.59</v>
      </c>
      <c r="J50" s="440">
        <v>0</v>
      </c>
      <c r="K50" s="440">
        <v>0.6</v>
      </c>
      <c r="L50" s="440">
        <v>0</v>
      </c>
    </row>
    <row r="51" spans="2:12" ht="12.75" outlineLevel="1">
      <c r="B51" s="444"/>
      <c r="C51" s="444"/>
      <c r="E51" s="441"/>
      <c r="F51" s="441"/>
      <c r="G51" s="441"/>
      <c r="H51" s="441"/>
      <c r="I51" s="441"/>
      <c r="J51" s="441"/>
      <c r="K51" s="441"/>
      <c r="L51" s="441"/>
    </row>
    <row r="52" spans="2:12" ht="12.75" outlineLevel="1">
      <c r="B52" s="444" t="s">
        <v>234</v>
      </c>
      <c r="C52" s="444" t="s">
        <v>45</v>
      </c>
      <c r="E52" s="440">
        <v>0</v>
      </c>
      <c r="F52" s="440">
        <v>0</v>
      </c>
      <c r="G52" s="440">
        <v>0</v>
      </c>
      <c r="H52" s="440">
        <v>0.006</v>
      </c>
      <c r="I52" s="440">
        <v>0</v>
      </c>
      <c r="J52" s="440">
        <v>0</v>
      </c>
      <c r="K52" s="440">
        <v>0</v>
      </c>
      <c r="L52" s="440">
        <v>0</v>
      </c>
    </row>
    <row r="53" spans="2:12" ht="12.75" outlineLevel="1">
      <c r="B53" s="444" t="s">
        <v>275</v>
      </c>
      <c r="C53" s="444"/>
      <c r="E53" s="441"/>
      <c r="F53" s="441"/>
      <c r="G53" s="441"/>
      <c r="H53" s="441"/>
      <c r="I53" s="441"/>
      <c r="J53" s="441"/>
      <c r="K53" s="441"/>
      <c r="L53" s="441"/>
    </row>
    <row r="54" spans="2:12" ht="12.75" outlineLevel="1">
      <c r="B54" s="445" t="s">
        <v>241</v>
      </c>
      <c r="C54" s="444"/>
      <c r="E54" s="441"/>
      <c r="F54" s="441"/>
      <c r="G54" s="441"/>
      <c r="H54" s="441"/>
      <c r="I54" s="441"/>
      <c r="J54" s="441"/>
      <c r="K54" s="441"/>
      <c r="L54" s="441"/>
    </row>
    <row r="55" spans="2:12" ht="12.75" outlineLevel="1">
      <c r="B55" s="444" t="s">
        <v>230</v>
      </c>
      <c r="C55" s="444" t="s">
        <v>45</v>
      </c>
      <c r="E55" s="440">
        <v>0</v>
      </c>
      <c r="F55" s="440">
        <v>0</v>
      </c>
      <c r="G55" s="440">
        <v>441</v>
      </c>
      <c r="H55" s="440">
        <v>441</v>
      </c>
      <c r="I55" s="440">
        <v>0</v>
      </c>
      <c r="J55" s="440">
        <v>441</v>
      </c>
      <c r="K55" s="440">
        <v>0</v>
      </c>
      <c r="L55" s="440">
        <v>0</v>
      </c>
    </row>
    <row r="56" spans="2:12" ht="12.75" outlineLevel="1">
      <c r="B56" s="444" t="s">
        <v>231</v>
      </c>
      <c r="C56" s="444" t="s">
        <v>45</v>
      </c>
      <c r="E56" s="440">
        <v>0</v>
      </c>
      <c r="F56" s="440">
        <v>0</v>
      </c>
      <c r="G56" s="440">
        <v>12.73</v>
      </c>
      <c r="H56" s="440">
        <v>10.52</v>
      </c>
      <c r="I56" s="440">
        <v>0</v>
      </c>
      <c r="J56" s="440">
        <v>16.67</v>
      </c>
      <c r="K56" s="440">
        <v>0</v>
      </c>
      <c r="L56" s="440">
        <v>0</v>
      </c>
    </row>
    <row r="57" spans="2:12" ht="12.75" outlineLevel="1">
      <c r="B57" s="444" t="s">
        <v>232</v>
      </c>
      <c r="C57" s="444" t="s">
        <v>45</v>
      </c>
      <c r="E57" s="440">
        <v>0</v>
      </c>
      <c r="F57" s="440">
        <v>0</v>
      </c>
      <c r="G57" s="440">
        <v>1.08</v>
      </c>
      <c r="H57" s="440">
        <v>1.02</v>
      </c>
      <c r="I57" s="440">
        <v>0</v>
      </c>
      <c r="J57" s="440">
        <v>1.63</v>
      </c>
      <c r="K57" s="440">
        <v>0</v>
      </c>
      <c r="L57" s="440">
        <v>0</v>
      </c>
    </row>
    <row r="58" spans="2:12" ht="12.75" outlineLevel="1">
      <c r="B58" s="444" t="s">
        <v>233</v>
      </c>
      <c r="C58" s="444" t="s">
        <v>45</v>
      </c>
      <c r="E58" s="440">
        <v>0</v>
      </c>
      <c r="F58" s="440">
        <v>0</v>
      </c>
      <c r="G58" s="440">
        <v>0.0057</v>
      </c>
      <c r="H58" s="440">
        <v>0.004</v>
      </c>
      <c r="I58" s="440">
        <v>0</v>
      </c>
      <c r="J58" s="440">
        <v>0.0024</v>
      </c>
      <c r="K58" s="440">
        <v>0</v>
      </c>
      <c r="L58" s="440">
        <v>0</v>
      </c>
    </row>
    <row r="59" spans="2:12" ht="12.75" outlineLevel="1">
      <c r="B59" s="444" t="s">
        <v>234</v>
      </c>
      <c r="C59" s="444" t="s">
        <v>45</v>
      </c>
      <c r="E59" s="440">
        <v>0</v>
      </c>
      <c r="F59" s="440">
        <v>0</v>
      </c>
      <c r="G59" s="440">
        <v>0.0062</v>
      </c>
      <c r="H59" s="440">
        <v>0.006</v>
      </c>
      <c r="I59" s="440">
        <v>0</v>
      </c>
      <c r="J59" s="440">
        <v>0.0084</v>
      </c>
      <c r="K59" s="440">
        <v>0</v>
      </c>
      <c r="L59" s="440">
        <v>0</v>
      </c>
    </row>
    <row r="60" spans="2:12" ht="12.75" outlineLevel="1">
      <c r="B60" s="444" t="s">
        <v>275</v>
      </c>
      <c r="C60" s="444"/>
      <c r="E60" s="441"/>
      <c r="F60" s="441"/>
      <c r="G60" s="441"/>
      <c r="H60" s="441"/>
      <c r="I60" s="441"/>
      <c r="J60" s="441"/>
      <c r="K60" s="441"/>
      <c r="L60" s="441"/>
    </row>
    <row r="61" spans="2:12" ht="12.75" outlineLevel="1">
      <c r="B61" s="445" t="s">
        <v>243</v>
      </c>
      <c r="C61" s="444"/>
      <c r="E61" s="441"/>
      <c r="F61" s="441"/>
      <c r="G61" s="441"/>
      <c r="H61" s="441"/>
      <c r="I61" s="441"/>
      <c r="J61" s="441"/>
      <c r="K61" s="441"/>
      <c r="L61" s="441"/>
    </row>
    <row r="62" spans="2:12" ht="12.75" outlineLevel="1">
      <c r="B62" s="444" t="s">
        <v>230</v>
      </c>
      <c r="C62" s="444" t="s">
        <v>45</v>
      </c>
      <c r="E62" s="440">
        <v>441</v>
      </c>
      <c r="F62" s="440">
        <v>441</v>
      </c>
      <c r="G62" s="440">
        <v>441</v>
      </c>
      <c r="H62" s="440">
        <v>441</v>
      </c>
      <c r="I62" s="440">
        <v>441</v>
      </c>
      <c r="J62" s="440">
        <v>441</v>
      </c>
      <c r="K62" s="440">
        <v>441</v>
      </c>
      <c r="L62" s="440">
        <v>441</v>
      </c>
    </row>
    <row r="63" spans="2:12" ht="12.75" outlineLevel="1">
      <c r="B63" s="444" t="s">
        <v>231</v>
      </c>
      <c r="C63" s="444" t="s">
        <v>45</v>
      </c>
      <c r="E63" s="440">
        <v>13.83</v>
      </c>
      <c r="F63" s="440">
        <v>10.56</v>
      </c>
      <c r="G63" s="440">
        <v>13.52</v>
      </c>
      <c r="H63" s="440">
        <v>13.26</v>
      </c>
      <c r="I63" s="440">
        <v>13.2</v>
      </c>
      <c r="J63" s="440">
        <v>13.05</v>
      </c>
      <c r="K63" s="440">
        <v>9.96</v>
      </c>
      <c r="L63" s="440">
        <v>11.4</v>
      </c>
    </row>
    <row r="64" spans="2:12" ht="12.75" outlineLevel="1">
      <c r="B64" s="444" t="s">
        <v>232</v>
      </c>
      <c r="C64" s="444" t="s">
        <v>45</v>
      </c>
      <c r="E64" s="440">
        <v>1.3</v>
      </c>
      <c r="F64" s="440">
        <v>1.03</v>
      </c>
      <c r="G64" s="440">
        <v>1.36</v>
      </c>
      <c r="H64" s="440">
        <v>1.33</v>
      </c>
      <c r="I64" s="440">
        <v>1.2</v>
      </c>
      <c r="J64" s="440">
        <v>1.39</v>
      </c>
      <c r="K64" s="440">
        <v>1.35</v>
      </c>
      <c r="L64" s="440">
        <v>1.47</v>
      </c>
    </row>
    <row r="65" spans="2:12" ht="12.75" outlineLevel="1">
      <c r="B65" s="444" t="s">
        <v>233</v>
      </c>
      <c r="C65" s="444" t="s">
        <v>45</v>
      </c>
      <c r="E65" s="440">
        <v>0.0068</v>
      </c>
      <c r="F65" s="440">
        <v>0.0078</v>
      </c>
      <c r="G65" s="440">
        <v>0.0087</v>
      </c>
      <c r="H65" s="440">
        <v>0.0077</v>
      </c>
      <c r="I65" s="440">
        <v>0.0074</v>
      </c>
      <c r="J65" s="440">
        <v>0.0086</v>
      </c>
      <c r="K65" s="440">
        <v>0.0083</v>
      </c>
      <c r="L65" s="440">
        <v>0.0098</v>
      </c>
    </row>
    <row r="66" spans="2:12" ht="12.75" outlineLevel="1">
      <c r="B66" s="444" t="s">
        <v>234</v>
      </c>
      <c r="C66" s="444" t="s">
        <v>45</v>
      </c>
      <c r="E66" s="440">
        <v>0.0126</v>
      </c>
      <c r="F66" s="440">
        <v>0</v>
      </c>
      <c r="G66" s="440">
        <v>0.0062</v>
      </c>
      <c r="H66" s="440">
        <v>0.006</v>
      </c>
      <c r="I66" s="440">
        <v>0</v>
      </c>
      <c r="J66" s="440">
        <v>0.0084</v>
      </c>
      <c r="K66" s="440">
        <v>0.006</v>
      </c>
      <c r="L66" s="440">
        <v>0</v>
      </c>
    </row>
    <row r="67" spans="2:12" ht="12.75" outlineLevel="1">
      <c r="B67" s="444" t="s">
        <v>275</v>
      </c>
      <c r="C67" s="444"/>
      <c r="E67" s="441"/>
      <c r="F67" s="441"/>
      <c r="G67" s="441"/>
      <c r="H67" s="441"/>
      <c r="I67" s="441"/>
      <c r="J67" s="441"/>
      <c r="K67" s="441"/>
      <c r="L67" s="441"/>
    </row>
    <row r="68" spans="2:12" ht="12.75" outlineLevel="1">
      <c r="B68" s="445" t="s">
        <v>244</v>
      </c>
      <c r="C68" s="444"/>
      <c r="E68" s="441"/>
      <c r="F68" s="441"/>
      <c r="G68" s="441"/>
      <c r="H68" s="441"/>
      <c r="I68" s="441"/>
      <c r="J68" s="441"/>
      <c r="K68" s="441"/>
      <c r="L68" s="441"/>
    </row>
    <row r="69" spans="2:12" ht="12.75" outlineLevel="1">
      <c r="B69" s="444" t="s">
        <v>230</v>
      </c>
      <c r="C69" s="444" t="s">
        <v>45</v>
      </c>
      <c r="E69" s="440">
        <v>441</v>
      </c>
      <c r="F69" s="440">
        <v>441</v>
      </c>
      <c r="G69" s="440">
        <v>441</v>
      </c>
      <c r="H69" s="440">
        <v>441</v>
      </c>
      <c r="I69" s="440">
        <v>441</v>
      </c>
      <c r="J69" s="440">
        <v>441</v>
      </c>
      <c r="K69" s="440">
        <v>441</v>
      </c>
      <c r="L69" s="440">
        <v>441</v>
      </c>
    </row>
    <row r="70" spans="2:12" ht="12.75" outlineLevel="1">
      <c r="B70" s="444" t="s">
        <v>231</v>
      </c>
      <c r="C70" s="444" t="s">
        <v>45</v>
      </c>
      <c r="E70" s="440">
        <v>15.47</v>
      </c>
      <c r="F70" s="440">
        <v>18.96</v>
      </c>
      <c r="G70" s="440">
        <v>21.7</v>
      </c>
      <c r="H70" s="440">
        <v>20.2</v>
      </c>
      <c r="I70" s="440">
        <v>20.4</v>
      </c>
      <c r="J70" s="440">
        <v>18.26</v>
      </c>
      <c r="K70" s="440">
        <v>16.2</v>
      </c>
      <c r="L70" s="440">
        <v>22.81</v>
      </c>
    </row>
    <row r="71" spans="2:12" ht="12.75" outlineLevel="1">
      <c r="B71" s="444" t="s">
        <v>232</v>
      </c>
      <c r="C71" s="444" t="s">
        <v>45</v>
      </c>
      <c r="E71" s="440">
        <v>1.3</v>
      </c>
      <c r="F71" s="440">
        <v>1.03</v>
      </c>
      <c r="G71" s="440">
        <v>1.36</v>
      </c>
      <c r="H71" s="440">
        <v>1.33</v>
      </c>
      <c r="I71" s="440">
        <v>1.2</v>
      </c>
      <c r="J71" s="440">
        <v>1.39</v>
      </c>
      <c r="K71" s="440">
        <v>1.35</v>
      </c>
      <c r="L71" s="440">
        <v>1.47</v>
      </c>
    </row>
    <row r="72" spans="2:12" ht="12.75" outlineLevel="1">
      <c r="B72" s="444" t="s">
        <v>233</v>
      </c>
      <c r="C72" s="444" t="s">
        <v>45</v>
      </c>
      <c r="E72" s="440">
        <v>0.0068</v>
      </c>
      <c r="F72" s="440">
        <v>0.0078</v>
      </c>
      <c r="G72" s="440">
        <v>0.0087</v>
      </c>
      <c r="H72" s="440">
        <v>0.0077</v>
      </c>
      <c r="I72" s="440">
        <v>0.0074</v>
      </c>
      <c r="J72" s="440">
        <v>0.0086</v>
      </c>
      <c r="K72" s="440">
        <v>0.0083</v>
      </c>
      <c r="L72" s="440">
        <v>0.0098</v>
      </c>
    </row>
    <row r="73" spans="2:12" ht="12.75" outlineLevel="1">
      <c r="B73" s="444" t="s">
        <v>234</v>
      </c>
      <c r="C73" s="444" t="s">
        <v>45</v>
      </c>
      <c r="E73" s="440">
        <v>0.0126</v>
      </c>
      <c r="F73" s="440">
        <v>0</v>
      </c>
      <c r="G73" s="440">
        <v>0.0062</v>
      </c>
      <c r="H73" s="440">
        <v>0.006</v>
      </c>
      <c r="I73" s="440">
        <v>0</v>
      </c>
      <c r="J73" s="440">
        <v>0.0084</v>
      </c>
      <c r="K73" s="440">
        <v>0.006</v>
      </c>
      <c r="L73" s="440">
        <v>0</v>
      </c>
    </row>
    <row r="74" spans="2:12" ht="12.75" outlineLevel="1">
      <c r="B74" s="444" t="s">
        <v>275</v>
      </c>
      <c r="C74" s="444"/>
      <c r="E74" s="441"/>
      <c r="F74" s="441"/>
      <c r="G74" s="441"/>
      <c r="H74" s="441"/>
      <c r="I74" s="441"/>
      <c r="J74" s="441"/>
      <c r="K74" s="441"/>
      <c r="L74" s="441"/>
    </row>
    <row r="75" spans="2:12" ht="12.75" outlineLevel="1">
      <c r="B75" s="445" t="s">
        <v>245</v>
      </c>
      <c r="C75" s="444"/>
      <c r="E75" s="441"/>
      <c r="F75" s="441"/>
      <c r="G75" s="441"/>
      <c r="H75" s="441"/>
      <c r="I75" s="441"/>
      <c r="J75" s="441"/>
      <c r="K75" s="441"/>
      <c r="L75" s="441"/>
    </row>
    <row r="76" spans="2:12" ht="12.75" outlineLevel="1">
      <c r="B76" s="444" t="s">
        <v>230</v>
      </c>
      <c r="C76" s="444" t="s">
        <v>45</v>
      </c>
      <c r="E76" s="440">
        <v>18</v>
      </c>
      <c r="F76" s="440">
        <v>18</v>
      </c>
      <c r="G76" s="440">
        <v>0</v>
      </c>
      <c r="H76" s="440">
        <v>18</v>
      </c>
      <c r="I76" s="440">
        <v>18</v>
      </c>
      <c r="J76" s="440">
        <v>18</v>
      </c>
      <c r="K76" s="440">
        <v>18</v>
      </c>
      <c r="L76" s="440">
        <v>18</v>
      </c>
    </row>
    <row r="77" spans="2:12" ht="12.75" outlineLevel="1">
      <c r="B77" s="444" t="s">
        <v>231</v>
      </c>
      <c r="C77" s="444" t="s">
        <v>45</v>
      </c>
      <c r="E77" s="440">
        <v>6.59</v>
      </c>
      <c r="F77" s="440">
        <v>5.46</v>
      </c>
      <c r="G77" s="440">
        <v>0</v>
      </c>
      <c r="H77" s="440">
        <v>4.51</v>
      </c>
      <c r="I77" s="440">
        <v>3.84</v>
      </c>
      <c r="J77" s="440">
        <v>5.88</v>
      </c>
      <c r="K77" s="440">
        <v>4.08</v>
      </c>
      <c r="L77" s="440">
        <v>6.47</v>
      </c>
    </row>
    <row r="78" spans="2:12" ht="12.75" outlineLevel="1">
      <c r="B78" s="444" t="s">
        <v>246</v>
      </c>
      <c r="C78" s="444" t="s">
        <v>45</v>
      </c>
      <c r="E78" s="440">
        <v>0.0163</v>
      </c>
      <c r="F78" s="440">
        <v>0.0201</v>
      </c>
      <c r="G78" s="440">
        <v>0</v>
      </c>
      <c r="H78" s="440">
        <v>0.0143</v>
      </c>
      <c r="I78" s="440">
        <v>0.0111</v>
      </c>
      <c r="J78" s="440">
        <v>0.0168</v>
      </c>
      <c r="K78" s="440">
        <v>0.015</v>
      </c>
      <c r="L78" s="440">
        <v>0.0176</v>
      </c>
    </row>
    <row r="79" spans="2:12" ht="12.75" outlineLevel="1">
      <c r="B79" s="444" t="s">
        <v>233</v>
      </c>
      <c r="C79" s="444" t="s">
        <v>45</v>
      </c>
      <c r="E79" s="440">
        <v>0.0349</v>
      </c>
      <c r="F79" s="440">
        <v>0.0304</v>
      </c>
      <c r="G79" s="440">
        <v>0</v>
      </c>
      <c r="H79" s="440">
        <v>0.0273</v>
      </c>
      <c r="I79" s="440">
        <v>0.0309</v>
      </c>
      <c r="J79" s="440">
        <v>0.0323</v>
      </c>
      <c r="K79" s="440">
        <v>0.03</v>
      </c>
      <c r="L79" s="440">
        <v>0.035</v>
      </c>
    </row>
    <row r="80" spans="2:12" ht="12.75" outlineLevel="1">
      <c r="B80" s="444" t="s">
        <v>234</v>
      </c>
      <c r="C80" s="444" t="s">
        <v>45</v>
      </c>
      <c r="E80" s="440">
        <v>0.0188</v>
      </c>
      <c r="F80" s="440">
        <v>0</v>
      </c>
      <c r="G80" s="440">
        <v>0</v>
      </c>
      <c r="H80" s="440">
        <v>0</v>
      </c>
      <c r="I80" s="440">
        <v>0</v>
      </c>
      <c r="J80" s="440">
        <v>0.0126</v>
      </c>
      <c r="K80" s="440">
        <v>0.006</v>
      </c>
      <c r="L80" s="440">
        <v>0</v>
      </c>
    </row>
    <row r="81" spans="2:12" ht="12.75" outlineLevel="1">
      <c r="B81" s="444" t="s">
        <v>275</v>
      </c>
      <c r="C81" s="444"/>
      <c r="E81" s="441"/>
      <c r="F81" s="441"/>
      <c r="G81" s="441"/>
      <c r="H81" s="441"/>
      <c r="I81" s="441"/>
      <c r="J81" s="441"/>
      <c r="K81" s="441"/>
      <c r="L81" s="441"/>
    </row>
    <row r="82" spans="2:12" ht="12.75" outlineLevel="1">
      <c r="B82" s="445" t="s">
        <v>263</v>
      </c>
      <c r="C82" s="444"/>
      <c r="E82" s="441"/>
      <c r="F82" s="441"/>
      <c r="G82" s="441"/>
      <c r="H82" s="441"/>
      <c r="I82" s="441"/>
      <c r="J82" s="441"/>
      <c r="K82" s="441"/>
      <c r="L82" s="441"/>
    </row>
    <row r="83" spans="2:12" ht="12.75" outlineLevel="1">
      <c r="B83" s="444" t="s">
        <v>264</v>
      </c>
      <c r="C83" s="444" t="s">
        <v>45</v>
      </c>
      <c r="E83" s="440">
        <v>0.54</v>
      </c>
      <c r="F83" s="440">
        <v>0.54</v>
      </c>
      <c r="G83" s="440">
        <v>0.54</v>
      </c>
      <c r="H83" s="440">
        <v>0.54</v>
      </c>
      <c r="I83" s="440">
        <v>0.54</v>
      </c>
      <c r="J83" s="440">
        <v>0.54</v>
      </c>
      <c r="K83" s="440">
        <v>0.54</v>
      </c>
      <c r="L83" s="440">
        <v>0.54</v>
      </c>
    </row>
    <row r="84" spans="2:12" ht="12.75" outlineLevel="1">
      <c r="B84" s="444" t="s">
        <v>265</v>
      </c>
      <c r="C84" s="444" t="s">
        <v>45</v>
      </c>
      <c r="E84" s="440">
        <v>18</v>
      </c>
      <c r="F84" s="440">
        <v>18</v>
      </c>
      <c r="G84" s="440">
        <v>18</v>
      </c>
      <c r="H84" s="440">
        <v>18</v>
      </c>
      <c r="I84" s="440">
        <v>18</v>
      </c>
      <c r="J84" s="440">
        <v>18</v>
      </c>
      <c r="K84" s="440">
        <v>18</v>
      </c>
      <c r="L84" s="440">
        <v>18</v>
      </c>
    </row>
    <row r="85" spans="2:12" ht="12.75" outlineLevel="1">
      <c r="B85" s="444" t="s">
        <v>275</v>
      </c>
      <c r="C85" s="444"/>
      <c r="E85" s="441"/>
      <c r="F85" s="441"/>
      <c r="G85" s="441"/>
      <c r="H85" s="441"/>
      <c r="I85" s="441"/>
      <c r="J85" s="441"/>
      <c r="K85" s="441"/>
      <c r="L85" s="441"/>
    </row>
    <row r="86" spans="2:12" ht="12.75" outlineLevel="1">
      <c r="B86" s="445" t="s">
        <v>266</v>
      </c>
      <c r="C86" s="444"/>
      <c r="E86" s="441"/>
      <c r="F86" s="441"/>
      <c r="G86" s="441"/>
      <c r="H86" s="441"/>
      <c r="I86" s="441"/>
      <c r="J86" s="441"/>
      <c r="K86" s="441"/>
      <c r="L86" s="441"/>
    </row>
    <row r="87" spans="2:12" ht="12.75" outlineLevel="1">
      <c r="B87" s="444" t="s">
        <v>267</v>
      </c>
      <c r="C87" s="444" t="s">
        <v>45</v>
      </c>
      <c r="E87" s="440">
        <v>1.7255</v>
      </c>
      <c r="F87" s="440">
        <v>1.5375</v>
      </c>
      <c r="G87" s="440">
        <v>1.36</v>
      </c>
      <c r="H87" s="440">
        <v>1.3255000000000001</v>
      </c>
      <c r="I87" s="440">
        <v>1.3485</v>
      </c>
      <c r="J87" s="440">
        <v>1.3905</v>
      </c>
      <c r="K87" s="440">
        <v>1.314</v>
      </c>
      <c r="L87" s="440">
        <v>1.805</v>
      </c>
    </row>
    <row r="88" spans="2:12" ht="12.75" outlineLevel="1">
      <c r="B88" s="444" t="s">
        <v>268</v>
      </c>
      <c r="C88" s="444" t="s">
        <v>45</v>
      </c>
      <c r="E88" s="440">
        <v>138.04</v>
      </c>
      <c r="F88" s="440">
        <v>123</v>
      </c>
      <c r="G88" s="440">
        <v>108.8</v>
      </c>
      <c r="H88" s="440">
        <v>106.04</v>
      </c>
      <c r="I88" s="440">
        <v>107.88</v>
      </c>
      <c r="J88" s="440">
        <v>111.24</v>
      </c>
      <c r="K88" s="440">
        <v>105.12</v>
      </c>
      <c r="L88" s="440">
        <v>144.4</v>
      </c>
    </row>
    <row r="89" spans="2:12" ht="12.75" outlineLevel="1">
      <c r="B89" s="444" t="s">
        <v>269</v>
      </c>
      <c r="C89" s="444" t="s">
        <v>45</v>
      </c>
      <c r="E89" s="440">
        <v>690.2</v>
      </c>
      <c r="F89" s="440">
        <v>615</v>
      </c>
      <c r="G89" s="440">
        <v>544</v>
      </c>
      <c r="H89" s="440">
        <v>530.2</v>
      </c>
      <c r="I89" s="440">
        <v>539.4</v>
      </c>
      <c r="J89" s="440">
        <v>556.2</v>
      </c>
      <c r="K89" s="440">
        <v>525.6</v>
      </c>
      <c r="L89" s="440">
        <v>722</v>
      </c>
    </row>
    <row r="90" spans="2:12" ht="12.75" outlineLevel="1">
      <c r="B90" s="444" t="s">
        <v>270</v>
      </c>
      <c r="C90" s="444" t="s">
        <v>45</v>
      </c>
      <c r="E90" s="440">
        <v>1035.3</v>
      </c>
      <c r="F90" s="440">
        <v>922.5</v>
      </c>
      <c r="G90" s="440">
        <v>816</v>
      </c>
      <c r="H90" s="440">
        <v>795.3</v>
      </c>
      <c r="I90" s="440">
        <v>809.1</v>
      </c>
      <c r="J90" s="440">
        <v>834.3</v>
      </c>
      <c r="K90" s="440">
        <v>788.4</v>
      </c>
      <c r="L90" s="440">
        <v>1083</v>
      </c>
    </row>
    <row r="91" spans="2:12" ht="12.75" outlineLevel="1">
      <c r="B91" s="444" t="s">
        <v>271</v>
      </c>
      <c r="C91" s="444" t="s">
        <v>45</v>
      </c>
      <c r="E91" s="440">
        <v>1380.4</v>
      </c>
      <c r="F91" s="440">
        <v>1230</v>
      </c>
      <c r="G91" s="440">
        <v>1088</v>
      </c>
      <c r="H91" s="440">
        <v>1060.4</v>
      </c>
      <c r="I91" s="440">
        <v>1078.8</v>
      </c>
      <c r="J91" s="440">
        <v>1112.4</v>
      </c>
      <c r="K91" s="440">
        <v>1051.2</v>
      </c>
      <c r="L91" s="440">
        <v>1444</v>
      </c>
    </row>
    <row r="92" spans="2:12" ht="12.75" outlineLevel="1">
      <c r="B92" s="444" t="s">
        <v>272</v>
      </c>
      <c r="C92" s="444" t="s">
        <v>45</v>
      </c>
      <c r="E92" s="440">
        <v>1725.5</v>
      </c>
      <c r="F92" s="440">
        <v>1537.5</v>
      </c>
      <c r="G92" s="440">
        <v>1360</v>
      </c>
      <c r="H92" s="440">
        <v>1325.5</v>
      </c>
      <c r="I92" s="440">
        <v>1348.5</v>
      </c>
      <c r="J92" s="440">
        <v>1390.5</v>
      </c>
      <c r="K92" s="440">
        <v>1314</v>
      </c>
      <c r="L92" s="440">
        <v>1805</v>
      </c>
    </row>
    <row r="93" spans="2:12" ht="12.75" outlineLevel="1">
      <c r="B93" s="444" t="s">
        <v>275</v>
      </c>
      <c r="C93" s="444"/>
      <c r="E93" s="441"/>
      <c r="F93" s="441"/>
      <c r="G93" s="441"/>
      <c r="H93" s="441"/>
      <c r="I93" s="441"/>
      <c r="J93" s="441"/>
      <c r="K93" s="441"/>
      <c r="L93" s="441"/>
    </row>
    <row r="94" spans="2:12" ht="12.75" outlineLevel="1">
      <c r="B94" s="444" t="s">
        <v>275</v>
      </c>
      <c r="C94" s="444"/>
      <c r="E94" s="442"/>
      <c r="F94" s="442"/>
      <c r="G94" s="442"/>
      <c r="H94" s="442"/>
      <c r="I94" s="442"/>
      <c r="J94" s="442"/>
      <c r="K94" s="442"/>
      <c r="L94" s="442"/>
    </row>
    <row r="95" spans="2:12" ht="12.75" outlineLevel="1">
      <c r="B95" s="445" t="s">
        <v>252</v>
      </c>
      <c r="C95" s="445"/>
      <c r="E95" s="442"/>
      <c r="F95" s="442"/>
      <c r="G95" s="442"/>
      <c r="H95" s="442"/>
      <c r="I95" s="442"/>
      <c r="J95" s="442"/>
      <c r="K95" s="442"/>
      <c r="L95" s="442"/>
    </row>
    <row r="96" spans="2:12" ht="12.75" outlineLevel="1">
      <c r="B96" s="444" t="s">
        <v>275</v>
      </c>
      <c r="C96" s="444"/>
      <c r="E96" s="442"/>
      <c r="F96" s="442"/>
      <c r="G96" s="442"/>
      <c r="H96" s="442"/>
      <c r="I96" s="442"/>
      <c r="J96" s="442"/>
      <c r="K96" s="442"/>
      <c r="L96" s="442"/>
    </row>
    <row r="97" spans="2:12" ht="12.75" outlineLevel="1">
      <c r="B97" s="446" t="s">
        <v>404</v>
      </c>
      <c r="C97" s="444" t="s">
        <v>45</v>
      </c>
      <c r="E97" s="443">
        <f>PAV!D82</f>
        <v>5.16</v>
      </c>
      <c r="F97" s="443">
        <f>PAV!I82</f>
        <v>1.92</v>
      </c>
      <c r="G97" s="443">
        <f>PAV!AC82</f>
        <v>6.23</v>
      </c>
      <c r="H97" s="443">
        <f>PAV!X82</f>
        <v>3.26</v>
      </c>
      <c r="I97" s="443">
        <f>PAV!AH82</f>
        <v>7.8</v>
      </c>
      <c r="J97" s="443">
        <f>PAV!AR82</f>
        <v>10.6</v>
      </c>
      <c r="K97" s="443">
        <f>PAV!N82</f>
        <v>6.24</v>
      </c>
      <c r="L97" s="443">
        <f>PAV!AW82</f>
        <v>2.54</v>
      </c>
    </row>
    <row r="98" spans="2:12" ht="12.75" outlineLevel="1">
      <c r="B98" s="446" t="s">
        <v>405</v>
      </c>
      <c r="C98" s="444" t="s">
        <v>45</v>
      </c>
      <c r="E98" s="443">
        <f>PAV!D83</f>
        <v>14.75</v>
      </c>
      <c r="F98" s="443">
        <f>PAV!I83</f>
        <v>19.2</v>
      </c>
      <c r="G98" s="443">
        <f>PAV!AC83</f>
        <v>13.47</v>
      </c>
      <c r="H98" s="443">
        <f>PAV!X83</f>
        <v>26.4</v>
      </c>
      <c r="I98" s="443">
        <f>PAV!AH83</f>
        <v>15.96</v>
      </c>
      <c r="J98" s="443">
        <f>PAV!AR83</f>
        <v>21.46</v>
      </c>
      <c r="K98" s="443">
        <f>PAV!N83</f>
        <v>16.56</v>
      </c>
      <c r="L98" s="443">
        <f>PAV!AW83</f>
        <v>13.5</v>
      </c>
    </row>
    <row r="99" spans="2:12" ht="12.75" outlineLevel="1">
      <c r="B99" s="446" t="s">
        <v>406</v>
      </c>
      <c r="C99" s="444" t="s">
        <v>45</v>
      </c>
      <c r="E99" s="443">
        <f>PAV!D84</f>
        <v>14.75</v>
      </c>
      <c r="F99" s="443">
        <f>PAV!I84</f>
        <v>31.56</v>
      </c>
      <c r="G99" s="443">
        <f>PAV!AC84</f>
        <v>13.47</v>
      </c>
      <c r="H99" s="443">
        <f>PAV!X84</f>
        <v>30.1</v>
      </c>
      <c r="I99" s="443">
        <f>PAV!AH84</f>
        <v>27.240000000000002</v>
      </c>
      <c r="J99" s="443">
        <f>PAV!AR84</f>
        <v>34.8</v>
      </c>
      <c r="K99" s="443">
        <f>PAV!N84</f>
        <v>32.88</v>
      </c>
      <c r="L99" s="443">
        <f>PAV!AW84</f>
        <v>41.925</v>
      </c>
    </row>
    <row r="100" spans="2:12" ht="12.75" outlineLevel="1">
      <c r="B100" s="446" t="s">
        <v>394</v>
      </c>
      <c r="C100" s="444" t="s">
        <v>45</v>
      </c>
      <c r="E100" s="443">
        <f>PAV!D85</f>
        <v>185.695</v>
      </c>
      <c r="F100" s="443">
        <f>PAV!I85</f>
        <v>82.02</v>
      </c>
      <c r="G100" s="443">
        <f>PAV!AC85</f>
        <v>202.37</v>
      </c>
      <c r="H100" s="443">
        <f>PAV!X85</f>
        <v>143</v>
      </c>
      <c r="I100" s="443">
        <f>PAV!AH85</f>
        <v>111.24000000000001</v>
      </c>
      <c r="J100" s="443">
        <f>PAV!AR85</f>
        <v>94.125</v>
      </c>
      <c r="K100" s="443">
        <f>PAV!N85</f>
        <v>46.8</v>
      </c>
      <c r="L100" s="443">
        <f>PAV!AW85</f>
        <v>150.72166666666666</v>
      </c>
    </row>
    <row r="101" spans="2:12" ht="12.75" outlineLevel="1">
      <c r="B101" s="446" t="s">
        <v>397</v>
      </c>
      <c r="C101" s="444" t="s">
        <v>45</v>
      </c>
      <c r="E101" s="443">
        <f>PAV!D86</f>
        <v>404.55</v>
      </c>
      <c r="F101" s="443">
        <f>PAV!I86</f>
        <v>915.36</v>
      </c>
      <c r="G101" s="443">
        <f>PAV!AC86</f>
        <v>581.83</v>
      </c>
      <c r="H101" s="443">
        <f>PAV!X86</f>
        <v>569</v>
      </c>
      <c r="I101" s="443">
        <f>PAV!AH86</f>
        <v>952</v>
      </c>
      <c r="J101" s="443">
        <f>PAV!AR86</f>
        <v>897.475</v>
      </c>
      <c r="K101" s="443">
        <f>PAV!N86</f>
        <v>719.16</v>
      </c>
      <c r="L101" s="443">
        <f>PAV!AW86</f>
        <v>808.8199999999999</v>
      </c>
    </row>
    <row r="102" spans="2:12" ht="12.75" outlineLevel="1">
      <c r="B102" s="446" t="s">
        <v>400</v>
      </c>
      <c r="C102" s="444" t="s">
        <v>45</v>
      </c>
      <c r="E102" s="443">
        <f>PAV!D87</f>
        <v>0</v>
      </c>
      <c r="F102" s="443">
        <f>PAV!I87</f>
        <v>6097.2</v>
      </c>
      <c r="G102" s="443">
        <f>PAV!AC87</f>
        <v>3477.885</v>
      </c>
      <c r="H102" s="443">
        <f>PAV!X87</f>
        <v>1641</v>
      </c>
      <c r="I102" s="443">
        <f>PAV!AH87</f>
        <v>7878</v>
      </c>
      <c r="J102" s="443">
        <f>PAV!AR87</f>
        <v>0</v>
      </c>
      <c r="K102" s="443">
        <f>PAV!N87</f>
        <v>5766</v>
      </c>
      <c r="L102" s="443">
        <f>PAV!AW87</f>
        <v>5073.28</v>
      </c>
    </row>
    <row r="103" spans="2:12" s="68" customFormat="1" ht="12.75" outlineLevel="1">
      <c r="B103" s="447"/>
      <c r="C103" s="447"/>
      <c r="E103" s="441"/>
      <c r="F103" s="441"/>
      <c r="G103" s="441"/>
      <c r="H103" s="441"/>
      <c r="I103" s="441"/>
      <c r="J103" s="441"/>
      <c r="K103" s="441"/>
      <c r="L103" s="441"/>
    </row>
    <row r="104" spans="2:12" ht="12.75" outlineLevel="1">
      <c r="B104" s="447" t="s">
        <v>417</v>
      </c>
      <c r="C104" s="444" t="s">
        <v>45</v>
      </c>
      <c r="E104" s="443">
        <f>PAV!B247</f>
        <v>0</v>
      </c>
      <c r="F104" s="443">
        <f>PAV!C247</f>
        <v>1.47</v>
      </c>
      <c r="G104" s="443">
        <f>PAV!D247</f>
        <v>2.86</v>
      </c>
      <c r="H104" s="548">
        <f>PAV!E247</f>
        <v>4.4</v>
      </c>
      <c r="I104" s="443">
        <f>PAV!F247</f>
        <v>1.44</v>
      </c>
      <c r="J104" s="443">
        <f>PAV!G247</f>
        <v>11.45</v>
      </c>
      <c r="K104" s="443">
        <f>PAV!H247</f>
        <v>5.28</v>
      </c>
      <c r="L104" s="443">
        <f>PAV!I247</f>
        <v>3.76</v>
      </c>
    </row>
    <row r="105" spans="2:12" ht="12.75" outlineLevel="1">
      <c r="B105" s="444" t="s">
        <v>275</v>
      </c>
      <c r="C105" s="444"/>
      <c r="E105" s="442"/>
      <c r="F105" s="442"/>
      <c r="G105" s="442"/>
      <c r="H105" s="442"/>
      <c r="I105" s="442"/>
      <c r="J105" s="442"/>
      <c r="K105" s="442"/>
      <c r="L105" s="442"/>
    </row>
    <row r="106" spans="2:12" ht="12.75" outlineLevel="1">
      <c r="B106" s="448" t="s">
        <v>254</v>
      </c>
      <c r="C106" s="448"/>
      <c r="E106" s="442"/>
      <c r="F106" s="442"/>
      <c r="G106" s="442"/>
      <c r="H106" s="442"/>
      <c r="I106" s="442"/>
      <c r="J106" s="442"/>
      <c r="K106" s="442"/>
      <c r="L106" s="442"/>
    </row>
    <row r="107" spans="2:12" ht="12.75" outlineLevel="1">
      <c r="B107" s="449" t="s">
        <v>562</v>
      </c>
      <c r="C107" s="449"/>
      <c r="E107" s="442"/>
      <c r="F107" s="442"/>
      <c r="G107" s="442"/>
      <c r="H107" s="442"/>
      <c r="I107" s="442"/>
      <c r="J107" s="442"/>
      <c r="K107" s="442"/>
      <c r="L107" s="442"/>
    </row>
    <row r="108" spans="2:12" ht="12.75" outlineLevel="1">
      <c r="B108" s="446" t="s">
        <v>404</v>
      </c>
      <c r="C108" s="444" t="s">
        <v>45</v>
      </c>
      <c r="E108" s="405">
        <f>EAV!D40</f>
        <v>350</v>
      </c>
      <c r="F108" s="405">
        <f>EAV!I40</f>
        <v>284.07</v>
      </c>
      <c r="G108" s="406">
        <f>EAV!AC40</f>
        <v>345.18</v>
      </c>
      <c r="H108" s="407">
        <f>EAV!X40</f>
        <v>296</v>
      </c>
      <c r="I108" s="405">
        <f>EAV!AH40</f>
        <v>329.4</v>
      </c>
      <c r="J108" s="406">
        <f>EAV!AR40</f>
        <v>363</v>
      </c>
      <c r="K108" s="406">
        <f>EAV!N40</f>
        <v>327.86</v>
      </c>
      <c r="L108" s="407">
        <f>EAV!AW40</f>
        <v>356.53</v>
      </c>
    </row>
    <row r="109" spans="2:12" ht="12.75" outlineLevel="1">
      <c r="B109" s="446" t="s">
        <v>405</v>
      </c>
      <c r="C109" s="444" t="s">
        <v>45</v>
      </c>
      <c r="E109" s="405">
        <f>EAV!D41</f>
        <v>585</v>
      </c>
      <c r="F109" s="405">
        <f>EAV!I41</f>
        <v>539.31</v>
      </c>
      <c r="G109" s="406">
        <f>EAV!AC41</f>
        <v>542.6</v>
      </c>
      <c r="H109" s="407">
        <f>EAV!X41</f>
        <v>568</v>
      </c>
      <c r="I109" s="405">
        <f>EAV!AH41</f>
        <v>546.7</v>
      </c>
      <c r="J109" s="406">
        <f>EAV!AR41</f>
        <v>615</v>
      </c>
      <c r="K109" s="406">
        <f>EAV!N41</f>
        <v>479.57</v>
      </c>
      <c r="L109" s="407">
        <f>EAV!AW41</f>
        <v>678.65</v>
      </c>
    </row>
    <row r="110" spans="2:12" ht="12.75" outlineLevel="1">
      <c r="B110" s="446" t="s">
        <v>406</v>
      </c>
      <c r="C110" s="444" t="s">
        <v>45</v>
      </c>
      <c r="E110" s="405">
        <f>EAV!D42</f>
        <v>990.8</v>
      </c>
      <c r="F110" s="405">
        <f>EAV!I42</f>
        <v>885.7150000000001</v>
      </c>
      <c r="G110" s="406">
        <f>EAV!AC42</f>
        <v>1173.46</v>
      </c>
      <c r="H110" s="407">
        <f>EAV!X42</f>
        <v>759</v>
      </c>
      <c r="I110" s="405">
        <f>EAV!AH42</f>
        <v>935.565</v>
      </c>
      <c r="J110" s="406">
        <f>EAV!AR42</f>
        <v>943.75</v>
      </c>
      <c r="K110" s="406">
        <f>EAV!N42</f>
        <v>873.1333333333333</v>
      </c>
      <c r="L110" s="407">
        <f>EAV!AW42</f>
        <v>1049.8675</v>
      </c>
    </row>
    <row r="111" spans="2:12" ht="12.75" outlineLevel="1">
      <c r="B111" s="446" t="s">
        <v>394</v>
      </c>
      <c r="C111" s="444" t="s">
        <v>45</v>
      </c>
      <c r="E111" s="405">
        <f>EAV!D43</f>
        <v>11275.864285714284</v>
      </c>
      <c r="F111" s="405">
        <f>EAV!I43</f>
        <v>3655.66</v>
      </c>
      <c r="G111" s="406">
        <f>EAV!AC43</f>
        <v>3417.1</v>
      </c>
      <c r="H111" s="407">
        <f>EAV!X43</f>
        <v>2435</v>
      </c>
      <c r="I111" s="405">
        <f>EAV!AH43</f>
        <v>3912.295</v>
      </c>
      <c r="J111" s="406">
        <f>EAV!AR43</f>
        <v>3881</v>
      </c>
      <c r="K111" s="406">
        <f>EAV!N43</f>
        <v>2714.25</v>
      </c>
      <c r="L111" s="407">
        <f>EAV!AW43</f>
        <v>5307.9783333333335</v>
      </c>
    </row>
    <row r="112" spans="2:12" ht="12.75" outlineLevel="1">
      <c r="B112" s="446" t="s">
        <v>397</v>
      </c>
      <c r="C112" s="444" t="s">
        <v>45</v>
      </c>
      <c r="E112" s="405">
        <f>EAV!D44</f>
        <v>59159.47333333333</v>
      </c>
      <c r="F112" s="405">
        <f>EAV!I44</f>
        <v>30159.055</v>
      </c>
      <c r="G112" s="406">
        <f>EAV!AC44</f>
        <v>21934.63</v>
      </c>
      <c r="H112" s="407">
        <f>EAV!X44</f>
        <v>16347</v>
      </c>
      <c r="I112" s="405">
        <f>EAV!AH44</f>
        <v>32843.35333333333</v>
      </c>
      <c r="J112" s="406">
        <f>EAV!AR44</f>
        <v>29549.930883333334</v>
      </c>
      <c r="K112" s="406">
        <f>EAV!N44</f>
        <v>34518.68</v>
      </c>
      <c r="L112" s="407">
        <f>EAV!AW44</f>
        <v>26090.2975</v>
      </c>
    </row>
    <row r="113" spans="2:12" ht="12.75" outlineLevel="1">
      <c r="B113" s="446" t="s">
        <v>400</v>
      </c>
      <c r="C113" s="444" t="s">
        <v>45</v>
      </c>
      <c r="E113" s="405">
        <f>EAV!D45</f>
        <v>0</v>
      </c>
      <c r="F113" s="405">
        <f>EAV!I45</f>
        <v>189706.84</v>
      </c>
      <c r="G113" s="406">
        <f>EAV!AC45</f>
        <v>123459.16</v>
      </c>
      <c r="H113" s="407">
        <f>EAV!X45</f>
        <v>190488.5</v>
      </c>
      <c r="I113" s="405">
        <f>EAV!AH45</f>
        <v>271566.745</v>
      </c>
      <c r="J113" s="406">
        <f>EAV!AR45</f>
        <v>322041.0632</v>
      </c>
      <c r="K113" s="406">
        <f>EAV!N45</f>
        <v>197389.66</v>
      </c>
      <c r="L113" s="407">
        <f>EAV!AW45</f>
        <v>178772.27</v>
      </c>
    </row>
    <row r="114" spans="2:12" s="68" customFormat="1" ht="12.75" outlineLevel="1">
      <c r="B114" s="45"/>
      <c r="C114" s="45"/>
      <c r="E114" s="461"/>
      <c r="F114" s="461"/>
      <c r="G114" s="461"/>
      <c r="H114" s="461"/>
      <c r="I114" s="461"/>
      <c r="J114" s="461"/>
      <c r="K114" s="461"/>
      <c r="L114" s="461"/>
    </row>
    <row r="115" spans="2:12" s="68" customFormat="1" ht="12.75" outlineLevel="1">
      <c r="B115" s="449" t="s">
        <v>563</v>
      </c>
      <c r="C115" s="449"/>
      <c r="E115" s="461"/>
      <c r="F115" s="461"/>
      <c r="G115" s="461"/>
      <c r="H115" s="461"/>
      <c r="I115" s="461"/>
      <c r="J115" s="461"/>
      <c r="K115" s="461"/>
      <c r="L115" s="461"/>
    </row>
    <row r="116" spans="2:12" ht="12.75" outlineLevel="1">
      <c r="B116" s="446" t="s">
        <v>404</v>
      </c>
      <c r="C116" s="444" t="s">
        <v>45</v>
      </c>
      <c r="E116" s="405">
        <f>EAV!D76</f>
        <v>17.36</v>
      </c>
      <c r="F116" s="405">
        <f>EAV!I76</f>
        <v>14.07</v>
      </c>
      <c r="G116" s="406">
        <f>EAV!AC76</f>
        <v>23.04</v>
      </c>
      <c r="H116" s="407">
        <f>EAV!X76</f>
        <v>14</v>
      </c>
      <c r="I116" s="405">
        <f>EAV!AH76</f>
        <v>16.35</v>
      </c>
      <c r="J116" s="406">
        <f>EAV!AR76</f>
        <v>18.09</v>
      </c>
      <c r="K116" s="406">
        <f>EAV!N76</f>
        <v>15.23</v>
      </c>
      <c r="L116" s="407">
        <f>EAV!AW76</f>
        <v>17.67</v>
      </c>
    </row>
    <row r="117" spans="2:12" ht="12.75" outlineLevel="1">
      <c r="B117" s="446" t="s">
        <v>405</v>
      </c>
      <c r="C117" s="444" t="s">
        <v>45</v>
      </c>
      <c r="E117" s="405">
        <f>EAV!D77</f>
        <v>17.66</v>
      </c>
      <c r="F117" s="405">
        <f>EAV!I77</f>
        <v>22.89</v>
      </c>
      <c r="G117" s="406">
        <f>EAV!AC77</f>
        <v>23.92</v>
      </c>
      <c r="H117" s="407">
        <f>EAV!X77</f>
        <v>16</v>
      </c>
      <c r="I117" s="405">
        <f>EAV!AH77</f>
        <v>21.6</v>
      </c>
      <c r="J117" s="406">
        <f>EAV!AR77</f>
        <v>21.2</v>
      </c>
      <c r="K117" s="406">
        <f>EAV!N77</f>
        <v>21.06</v>
      </c>
      <c r="L117" s="407">
        <f>EAV!AW77</f>
        <v>25.53</v>
      </c>
    </row>
    <row r="118" spans="2:12" ht="12.75" outlineLevel="1">
      <c r="B118" s="446" t="s">
        <v>406</v>
      </c>
      <c r="C118" s="444" t="s">
        <v>45</v>
      </c>
      <c r="E118" s="405">
        <f>EAV!D78</f>
        <v>24.73</v>
      </c>
      <c r="F118" s="405">
        <f>EAV!I78</f>
        <v>29.237499999999997</v>
      </c>
      <c r="G118" s="406">
        <f>EAV!AC78</f>
        <v>37.75</v>
      </c>
      <c r="H118" s="407">
        <f>EAV!X78</f>
        <v>18.5</v>
      </c>
      <c r="I118" s="405">
        <f>EAV!AH78</f>
        <v>28.73</v>
      </c>
      <c r="J118" s="406">
        <f>EAV!AR78</f>
        <v>26.075</v>
      </c>
      <c r="K118" s="406">
        <f>EAV!N78</f>
        <v>29.159999999999997</v>
      </c>
      <c r="L118" s="407">
        <f>EAV!AW78</f>
        <v>29.3625</v>
      </c>
    </row>
    <row r="119" spans="2:12" ht="12.75" outlineLevel="1">
      <c r="B119" s="446" t="s">
        <v>394</v>
      </c>
      <c r="C119" s="444" t="s">
        <v>45</v>
      </c>
      <c r="E119" s="405">
        <f>EAV!D79</f>
        <v>70.16285714285713</v>
      </c>
      <c r="F119" s="405">
        <f>EAV!I79</f>
        <v>44.09</v>
      </c>
      <c r="G119" s="406">
        <f>EAV!AC79</f>
        <v>50.25</v>
      </c>
      <c r="H119" s="407">
        <f>EAV!X79</f>
        <v>26</v>
      </c>
      <c r="I119" s="405">
        <f>EAV!AH79</f>
        <v>43.225</v>
      </c>
      <c r="J119" s="406">
        <f>EAV!AR79</f>
        <v>38.338</v>
      </c>
      <c r="K119" s="406">
        <f>EAV!N79</f>
        <v>46.545</v>
      </c>
      <c r="L119" s="407">
        <f>EAV!AW79</f>
        <v>92.84500000000001</v>
      </c>
    </row>
    <row r="120" spans="2:12" ht="12.75" outlineLevel="1">
      <c r="B120" s="446" t="s">
        <v>397</v>
      </c>
      <c r="C120" s="444" t="s">
        <v>45</v>
      </c>
      <c r="E120" s="405">
        <f>EAV!D80</f>
        <v>150.75</v>
      </c>
      <c r="F120" s="405">
        <f>EAV!I80</f>
        <v>84.79</v>
      </c>
      <c r="G120" s="406">
        <f>EAV!AC80</f>
        <v>90.3</v>
      </c>
      <c r="H120" s="407">
        <f>EAV!X80</f>
        <v>60</v>
      </c>
      <c r="I120" s="405">
        <f>EAV!AH80</f>
        <v>103.93</v>
      </c>
      <c r="J120" s="406">
        <f>EAV!AR80</f>
        <v>101.24</v>
      </c>
      <c r="K120" s="406">
        <f>EAV!N80</f>
        <v>94.81</v>
      </c>
      <c r="L120" s="407">
        <f>EAV!AW80</f>
        <v>324.27750000000003</v>
      </c>
    </row>
    <row r="121" spans="2:12" ht="12.75" outlineLevel="1">
      <c r="B121" s="446" t="s">
        <v>400</v>
      </c>
      <c r="C121" s="444" t="s">
        <v>45</v>
      </c>
      <c r="E121" s="405">
        <f>EAV!D81</f>
        <v>0</v>
      </c>
      <c r="F121" s="405">
        <f>EAV!I81</f>
        <v>109.38499999999999</v>
      </c>
      <c r="G121" s="406">
        <f>EAV!AC81</f>
        <v>156.41</v>
      </c>
      <c r="H121" s="407">
        <f>EAV!X81</f>
        <v>118.5</v>
      </c>
      <c r="I121" s="405">
        <f>EAV!AH81</f>
        <v>138.88</v>
      </c>
      <c r="J121" s="406">
        <f>EAV!AR81</f>
        <v>200.93</v>
      </c>
      <c r="K121" s="406">
        <f>EAV!N81</f>
        <v>149.685</v>
      </c>
      <c r="L121" s="407">
        <f>EAV!AW81</f>
        <v>132.79</v>
      </c>
    </row>
    <row r="122" spans="2:12" s="68" customFormat="1" ht="12.75" outlineLevel="1">
      <c r="B122" s="444"/>
      <c r="C122" s="444"/>
      <c r="E122" s="441"/>
      <c r="F122" s="441"/>
      <c r="G122" s="441"/>
      <c r="H122" s="441"/>
      <c r="I122" s="441"/>
      <c r="J122" s="441"/>
      <c r="K122" s="441"/>
      <c r="L122" s="441"/>
    </row>
    <row r="123" spans="2:12" s="68" customFormat="1" ht="12.75" outlineLevel="1">
      <c r="B123" s="444"/>
      <c r="C123" s="444"/>
      <c r="E123" s="441"/>
      <c r="F123" s="441"/>
      <c r="G123" s="441"/>
      <c r="H123" s="441"/>
      <c r="I123" s="441"/>
      <c r="J123" s="441"/>
      <c r="K123" s="441"/>
      <c r="L123" s="441"/>
    </row>
    <row r="124" spans="2:12" s="68" customFormat="1" ht="12.75" outlineLevel="1">
      <c r="B124" s="444"/>
      <c r="C124" s="444"/>
      <c r="E124" s="441"/>
      <c r="F124" s="441"/>
      <c r="G124" s="441"/>
      <c r="H124" s="441"/>
      <c r="I124" s="441"/>
      <c r="J124" s="441"/>
      <c r="K124" s="441"/>
      <c r="L124" s="441"/>
    </row>
    <row r="125" spans="3:12" ht="12.75">
      <c r="C125" s="450"/>
      <c r="E125" s="442"/>
      <c r="F125" s="442"/>
      <c r="G125" s="442"/>
      <c r="H125" s="442"/>
      <c r="I125" s="442"/>
      <c r="J125" s="442"/>
      <c r="K125" s="442"/>
      <c r="L125" s="442"/>
    </row>
    <row r="126" spans="2:12" s="65" customFormat="1" ht="12.75">
      <c r="B126" s="64" t="s">
        <v>216</v>
      </c>
      <c r="C126" s="64"/>
      <c r="E126" s="462"/>
      <c r="F126" s="462"/>
      <c r="G126" s="462"/>
      <c r="H126" s="462"/>
      <c r="I126" s="462"/>
      <c r="J126" s="462"/>
      <c r="K126" s="462"/>
      <c r="L126" s="462"/>
    </row>
    <row r="127" spans="3:12" ht="12.75">
      <c r="C127" s="450"/>
      <c r="E127" s="442"/>
      <c r="F127" s="442"/>
      <c r="G127" s="442"/>
      <c r="H127" s="442"/>
      <c r="I127" s="442"/>
      <c r="J127" s="442"/>
      <c r="K127" s="442"/>
      <c r="L127" s="442"/>
    </row>
    <row r="128" spans="2:13" ht="12.75">
      <c r="B128" s="450" t="s">
        <v>452</v>
      </c>
      <c r="C128" s="444" t="s">
        <v>45</v>
      </c>
      <c r="E128" s="458">
        <v>-29310.648737196556</v>
      </c>
      <c r="F128" s="458">
        <v>466787.37681000185</v>
      </c>
      <c r="G128" s="458">
        <v>683275.0639149987</v>
      </c>
      <c r="H128" s="458">
        <v>2073582.404094302</v>
      </c>
      <c r="I128" s="458">
        <v>2685292.182673578</v>
      </c>
      <c r="J128" s="458">
        <v>-27768.922611225895</v>
      </c>
      <c r="K128" s="458">
        <v>723191.9831999888</v>
      </c>
      <c r="L128" s="458">
        <v>301579.90154999413</v>
      </c>
      <c r="M128" s="37"/>
    </row>
    <row r="129" spans="3:12" ht="12.75">
      <c r="C129" s="450"/>
      <c r="E129" s="442"/>
      <c r="F129" s="442"/>
      <c r="G129" s="442"/>
      <c r="H129" s="442"/>
      <c r="I129" s="442"/>
      <c r="J129" s="442"/>
      <c r="K129" s="442"/>
      <c r="L129" s="442"/>
    </row>
    <row r="130" spans="2:13" ht="12.75">
      <c r="B130" s="451" t="s">
        <v>217</v>
      </c>
      <c r="C130" s="444" t="s">
        <v>45</v>
      </c>
      <c r="E130" s="459">
        <f>Wegingsfactor!E7*Rekenvol!E137+Wegingsfactor!E15*Rekenvol!E145+Wegingsfactor!E23*Rekenvol!E153+Wegingsfactor!E31*Rekenvol!E161+Wegingsfactor!E39*Rekenvol!E169+Wegingsfactor!E47*Rekenvol!E177+Wegingsfactor!E55*Rekenvol!E185+Wegingsfactor!E62*Rekenvol!E192+Wegingsfactor!E69*Rekenvol!E199+Wegingsfactor!E76*Rekenvol!E206+Wegingsfactor!E83*Rekenvol!E238+Wegingsfactor!E84*Rekenvol!E239</f>
        <v>918.54</v>
      </c>
      <c r="F130" s="459">
        <f>Wegingsfactor!F7*Rekenvol!F137+Wegingsfactor!F15*Rekenvol!F145+Wegingsfactor!F23*Rekenvol!F153+Wegingsfactor!F31*Rekenvol!F161+Wegingsfactor!F39*Rekenvol!F169+Wegingsfactor!F47*Rekenvol!F177+Wegingsfactor!F55*Rekenvol!F185+Wegingsfactor!F62*Rekenvol!F192+Wegingsfactor!F69*Rekenvol!F199+Wegingsfactor!F76*Rekenvol!F206+Wegingsfactor!F83*Rekenvol!F238+Wegingsfactor!F84*Rekenvol!F239</f>
        <v>9198.54</v>
      </c>
      <c r="G130" s="459">
        <f>Wegingsfactor!G7*Rekenvol!G137+Wegingsfactor!G15*Rekenvol!G145+Wegingsfactor!G23*Rekenvol!G153+Wegingsfactor!G31*Rekenvol!G161+Wegingsfactor!G39*Rekenvol!G169+Wegingsfactor!G47*Rekenvol!G177+Wegingsfactor!G55*Rekenvol!G185+Wegingsfactor!G62*Rekenvol!G192+Wegingsfactor!G69*Rekenvol!G199+Wegingsfactor!G76*Rekenvol!G206+Wegingsfactor!G83*Rekenvol!G238+Wegingsfactor!G84*Rekenvol!G239</f>
        <v>4495.749174697406</v>
      </c>
      <c r="H130" s="459">
        <f>Wegingsfactor!H7*Rekenvol!H137+Wegingsfactor!H15*Rekenvol!H145+Wegingsfactor!H23*Rekenvol!H153+Wegingsfactor!H31*Rekenvol!H161+Wegingsfactor!H39*Rekenvol!H169+Wegingsfactor!H47*Rekenvol!H177+Wegingsfactor!H55*Rekenvol!H185+Wegingsfactor!H62*Rekenvol!H192+Wegingsfactor!H69*Rekenvol!H199+Wegingsfactor!H76*Rekenvol!H206+Wegingsfactor!H83*Rekenvol!H238+Wegingsfactor!H84*Rekenvol!H239</f>
        <v>6879.54</v>
      </c>
      <c r="I130" s="459">
        <f>Wegingsfactor!I7*Rekenvol!I137+Wegingsfactor!I15*Rekenvol!I145+Wegingsfactor!I23*Rekenvol!I153+Wegingsfactor!I31*Rekenvol!I161+Wegingsfactor!I39*Rekenvol!I169+Wegingsfactor!I47*Rekenvol!I177+Wegingsfactor!I55*Rekenvol!I185+Wegingsfactor!I62*Rekenvol!I192+Wegingsfactor!I69*Rekenvol!I199+Wegingsfactor!I76*Rekenvol!I206+Wegingsfactor!I83*Rekenvol!I238+Wegingsfactor!I84*Rekenvol!I239</f>
        <v>14718.54</v>
      </c>
      <c r="J130" s="459">
        <f>Wegingsfactor!J7*Rekenvol!J137+Wegingsfactor!J15*Rekenvol!J145+Wegingsfactor!J23*Rekenvol!J153+Wegingsfactor!J31*Rekenvol!J161+Wegingsfactor!J39*Rekenvol!J169+Wegingsfactor!J47*Rekenvol!J177+Wegingsfactor!J55*Rekenvol!J185+Wegingsfactor!J62*Rekenvol!J192+Wegingsfactor!J69*Rekenvol!J199+Wegingsfactor!J76*Rekenvol!J206+Wegingsfactor!J83*Rekenvol!J238+Wegingsfactor!J84*Rekenvol!J239</f>
        <v>1359.54</v>
      </c>
      <c r="K130" s="459">
        <f>Wegingsfactor!K7*Rekenvol!K137+Wegingsfactor!K15*Rekenvol!K145+Wegingsfactor!K23*Rekenvol!K153+Wegingsfactor!K31*Rekenvol!K161+Wegingsfactor!K39*Rekenvol!K169+Wegingsfactor!K47*Rekenvol!K177+Wegingsfactor!K55*Rekenvol!K185+Wegingsfactor!K62*Rekenvol!K192+Wegingsfactor!K69*Rekenvol!K199+Wegingsfactor!K76*Rekenvol!K206+Wegingsfactor!K83*Rekenvol!K238+Wegingsfactor!K84*Rekenvol!K239</f>
        <v>17478.54</v>
      </c>
      <c r="L130" s="459">
        <f>Wegingsfactor!L7*Rekenvol!L137+Wegingsfactor!L15*Rekenvol!L145+Wegingsfactor!L23*Rekenvol!L153+Wegingsfactor!L31*Rekenvol!L161+Wegingsfactor!L39*Rekenvol!L169+Wegingsfactor!L47*Rekenvol!L177+Wegingsfactor!L55*Rekenvol!L185+Wegingsfactor!L62*Rekenvol!L192+Wegingsfactor!L69*Rekenvol!L199+Wegingsfactor!L76*Rekenvol!L206+Wegingsfactor!L83*Rekenvol!L238+Wegingsfactor!L84*Rekenvol!L239</f>
        <v>3678.54</v>
      </c>
      <c r="M130" s="37"/>
    </row>
    <row r="131" spans="2:13" ht="12.75">
      <c r="B131" s="66" t="s">
        <v>453</v>
      </c>
      <c r="C131" s="444" t="s">
        <v>45</v>
      </c>
      <c r="E131" s="459">
        <f>SUMPRODUCT(E7:E80,Rekenvol!E8:E81)+SUMPRODUCT(E83:E92,Rekenvol!E109:E118)+SUMPRODUCT(E97:E104,Rekenvol!E122:E129)-E130</f>
        <v>15063209.2069</v>
      </c>
      <c r="F131" s="459">
        <f>SUMPRODUCT(F7:F80,Rekenvol!F8:F81)+SUMPRODUCT(F83:F92,Rekenvol!F109:F118)+SUMPRODUCT(F97:F104,Rekenvol!F122:F129)-F130</f>
        <v>53770579.50076668</v>
      </c>
      <c r="G131" s="459">
        <f>SUMPRODUCT(G7:G80,Rekenvol!G8:G81)+SUMPRODUCT(G83:G92,Rekenvol!G109:G118)+SUMPRODUCT(G97:G104,Rekenvol!G122:G129)-G130</f>
        <v>27902575.340169173</v>
      </c>
      <c r="H131" s="459">
        <f>SUMPRODUCT(H7:H80,Rekenvol!H8:H81)+SUMPRODUCT(H83:H92,Rekenvol!H109:H118)+SUMPRODUCT(H97:H104,Rekenvol!H122:H129)-H130</f>
        <v>719963540.3244286</v>
      </c>
      <c r="I131" s="459">
        <f>SUMPRODUCT(I7:I80,Rekenvol!I8:I81)+SUMPRODUCT(I83:I92,Rekenvol!I109:I118)+SUMPRODUCT(I97:I104,Rekenvol!I122:I129)-I130</f>
        <v>749430471.588496</v>
      </c>
      <c r="J131" s="459">
        <f>SUMPRODUCT(J7:J80,Rekenvol!J8:J81)+SUMPRODUCT(J83:J92,Rekenvol!J109:J118)+SUMPRODUCT(J97:J104,Rekenvol!J122:J129)-J130</f>
        <v>8767972.046133334</v>
      </c>
      <c r="K131" s="459">
        <f>SUMPRODUCT(K7:K80,Rekenvol!K8:K81)+SUMPRODUCT(K83:K92,Rekenvol!K109:K118)+SUMPRODUCT(K97:K104,Rekenvol!K122:K129)-K130</f>
        <v>506320288.0823931</v>
      </c>
      <c r="L131" s="459">
        <f>SUMPRODUCT(L7:L80,Rekenvol!L8:L81)+SUMPRODUCT(L83:L92,Rekenvol!L109:L118)+SUMPRODUCT(L97:L104,Rekenvol!L122:L129)-L130</f>
        <v>37072751.389869064</v>
      </c>
      <c r="M131" s="37"/>
    </row>
    <row r="132" spans="2:13" ht="12.75">
      <c r="B132" s="451" t="s">
        <v>218</v>
      </c>
      <c r="C132" s="444" t="s">
        <v>45</v>
      </c>
      <c r="E132" s="459">
        <f>E131-E128</f>
        <v>15092519.855637196</v>
      </c>
      <c r="F132" s="459">
        <f aca="true" t="shared" si="0" ref="F132:L132">F131-F128</f>
        <v>53303792.12395668</v>
      </c>
      <c r="G132" s="459">
        <f>G131-G128</f>
        <v>27219300.276254173</v>
      </c>
      <c r="H132" s="459">
        <f>H131-H128</f>
        <v>717889957.9203342</v>
      </c>
      <c r="I132" s="459">
        <f t="shared" si="0"/>
        <v>746745179.4058224</v>
      </c>
      <c r="J132" s="459">
        <f t="shared" si="0"/>
        <v>8795740.96874456</v>
      </c>
      <c r="K132" s="459">
        <f>K131-K128</f>
        <v>505597096.0991931</v>
      </c>
      <c r="L132" s="459">
        <f t="shared" si="0"/>
        <v>36771171.48831907</v>
      </c>
      <c r="M132" s="37"/>
    </row>
    <row r="133" spans="3:12" ht="12.75">
      <c r="C133" s="450"/>
      <c r="E133" s="442"/>
      <c r="F133" s="442"/>
      <c r="G133" s="442"/>
      <c r="H133" s="442"/>
      <c r="I133" s="442"/>
      <c r="J133" s="442"/>
      <c r="K133" s="442"/>
      <c r="L133" s="442"/>
    </row>
    <row r="134" spans="2:12" s="65" customFormat="1" ht="12.75">
      <c r="B134" s="64" t="s">
        <v>219</v>
      </c>
      <c r="C134" s="64"/>
      <c r="E134" s="462"/>
      <c r="F134" s="462"/>
      <c r="G134" s="462"/>
      <c r="H134" s="462"/>
      <c r="I134" s="462"/>
      <c r="J134" s="462"/>
      <c r="K134" s="462"/>
      <c r="L134" s="462"/>
    </row>
    <row r="135" spans="3:12" ht="12.75">
      <c r="C135" s="450"/>
      <c r="E135" s="442"/>
      <c r="F135" s="442"/>
      <c r="G135" s="442"/>
      <c r="H135" s="442"/>
      <c r="I135" s="442"/>
      <c r="J135" s="442"/>
      <c r="K135" s="442"/>
      <c r="L135" s="442"/>
    </row>
    <row r="136" spans="2:12" ht="12.75" outlineLevel="1">
      <c r="B136" s="445" t="s">
        <v>229</v>
      </c>
      <c r="C136" s="444"/>
      <c r="E136" s="442"/>
      <c r="F136" s="442"/>
      <c r="G136" s="442"/>
      <c r="H136" s="442"/>
      <c r="I136" s="442"/>
      <c r="J136" s="442"/>
      <c r="K136" s="442"/>
      <c r="L136" s="442"/>
    </row>
    <row r="137" spans="2:12" ht="12.75" outlineLevel="1">
      <c r="B137" s="444" t="s">
        <v>230</v>
      </c>
      <c r="C137" s="444" t="s">
        <v>45</v>
      </c>
      <c r="E137" s="443">
        <f>E7</f>
        <v>0</v>
      </c>
      <c r="F137" s="443">
        <f aca="true" t="shared" si="1" ref="F137:L137">F7</f>
        <v>0</v>
      </c>
      <c r="G137" s="443">
        <f>G7</f>
        <v>0</v>
      </c>
      <c r="H137" s="443">
        <f>H7</f>
        <v>0</v>
      </c>
      <c r="I137" s="443">
        <f t="shared" si="1"/>
        <v>2760</v>
      </c>
      <c r="J137" s="443">
        <f t="shared" si="1"/>
        <v>0</v>
      </c>
      <c r="K137" s="443">
        <f>K7</f>
        <v>2760</v>
      </c>
      <c r="L137" s="443">
        <f t="shared" si="1"/>
        <v>0</v>
      </c>
    </row>
    <row r="138" spans="2:12" s="68" customFormat="1" ht="12.75" outlineLevel="1">
      <c r="B138" s="444"/>
      <c r="C138" s="444"/>
      <c r="E138" s="441"/>
      <c r="F138" s="441"/>
      <c r="G138" s="441"/>
      <c r="H138" s="441"/>
      <c r="I138" s="441"/>
      <c r="J138" s="441"/>
      <c r="K138" s="441"/>
      <c r="L138" s="441"/>
    </row>
    <row r="139" spans="2:12" ht="12.75" outlineLevel="1">
      <c r="B139" s="444" t="s">
        <v>231</v>
      </c>
      <c r="C139" s="444" t="s">
        <v>45</v>
      </c>
      <c r="E139" s="443">
        <f aca="true" t="shared" si="2" ref="E139:L140">E9*(E$132/E$131)</f>
        <v>0</v>
      </c>
      <c r="F139" s="443">
        <f t="shared" si="2"/>
        <v>0</v>
      </c>
      <c r="G139" s="443">
        <f t="shared" si="2"/>
        <v>0</v>
      </c>
      <c r="H139" s="443">
        <f t="shared" si="2"/>
        <v>0</v>
      </c>
      <c r="I139" s="443">
        <f t="shared" si="2"/>
        <v>6.8154915242630105</v>
      </c>
      <c r="J139" s="443">
        <f t="shared" si="2"/>
        <v>0</v>
      </c>
      <c r="K139" s="443">
        <f t="shared" si="2"/>
        <v>8.507830636374061</v>
      </c>
      <c r="L139" s="443">
        <f t="shared" si="2"/>
        <v>0</v>
      </c>
    </row>
    <row r="140" spans="2:12" ht="12.75" outlineLevel="1">
      <c r="B140" s="444" t="s">
        <v>232</v>
      </c>
      <c r="C140" s="444" t="s">
        <v>45</v>
      </c>
      <c r="E140" s="443">
        <f t="shared" si="2"/>
        <v>0</v>
      </c>
      <c r="F140" s="443">
        <f t="shared" si="2"/>
        <v>0</v>
      </c>
      <c r="G140" s="443">
        <f t="shared" si="2"/>
        <v>0</v>
      </c>
      <c r="H140" s="443">
        <f t="shared" si="2"/>
        <v>0</v>
      </c>
      <c r="I140" s="443">
        <f t="shared" si="2"/>
        <v>0.6277426403926457</v>
      </c>
      <c r="J140" s="443">
        <f t="shared" si="2"/>
        <v>0</v>
      </c>
      <c r="K140" s="443">
        <f t="shared" si="2"/>
        <v>0.8487859202955343</v>
      </c>
      <c r="L140" s="443">
        <f t="shared" si="2"/>
        <v>0</v>
      </c>
    </row>
    <row r="141" spans="2:12" ht="12.75" outlineLevel="1">
      <c r="B141" s="444"/>
      <c r="C141" s="444"/>
      <c r="E141" s="441"/>
      <c r="F141" s="441"/>
      <c r="G141" s="441"/>
      <c r="H141" s="441"/>
      <c r="I141" s="441"/>
      <c r="J141" s="441"/>
      <c r="K141" s="441"/>
      <c r="L141" s="441"/>
    </row>
    <row r="142" spans="2:12" ht="12.75" outlineLevel="1">
      <c r="B142" s="444" t="s">
        <v>234</v>
      </c>
      <c r="C142" s="444" t="s">
        <v>45</v>
      </c>
      <c r="E142" s="443">
        <f aca="true" t="shared" si="3" ref="E142:L142">E12*(E$132/E$131)</f>
        <v>0</v>
      </c>
      <c r="F142" s="443">
        <f t="shared" si="3"/>
        <v>0</v>
      </c>
      <c r="G142" s="443">
        <f t="shared" si="3"/>
        <v>0</v>
      </c>
      <c r="H142" s="443">
        <f t="shared" si="3"/>
        <v>0</v>
      </c>
      <c r="I142" s="443">
        <f t="shared" si="3"/>
        <v>0</v>
      </c>
      <c r="J142" s="443">
        <f t="shared" si="3"/>
        <v>0</v>
      </c>
      <c r="K142" s="443">
        <f t="shared" si="3"/>
        <v>0</v>
      </c>
      <c r="L142" s="443">
        <f t="shared" si="3"/>
        <v>0</v>
      </c>
    </row>
    <row r="143" spans="2:12" ht="12.75" outlineLevel="1">
      <c r="B143" s="444" t="s">
        <v>275</v>
      </c>
      <c r="C143" s="444"/>
      <c r="E143" s="441"/>
      <c r="F143" s="441"/>
      <c r="G143" s="441"/>
      <c r="H143" s="441"/>
      <c r="I143" s="441"/>
      <c r="J143" s="441"/>
      <c r="K143" s="441"/>
      <c r="L143" s="441"/>
    </row>
    <row r="144" spans="2:12" ht="12.75" outlineLevel="1">
      <c r="B144" s="445" t="s">
        <v>260</v>
      </c>
      <c r="C144" s="444"/>
      <c r="E144" s="441"/>
      <c r="F144" s="441"/>
      <c r="G144" s="441"/>
      <c r="H144" s="441"/>
      <c r="I144" s="441"/>
      <c r="J144" s="441"/>
      <c r="K144" s="441"/>
      <c r="L144" s="441"/>
    </row>
    <row r="145" spans="2:12" ht="12.75" outlineLevel="1">
      <c r="B145" s="444" t="s">
        <v>230</v>
      </c>
      <c r="C145" s="444" t="s">
        <v>45</v>
      </c>
      <c r="E145" s="443">
        <f aca="true" t="shared" si="4" ref="E145:L145">E15</f>
        <v>0</v>
      </c>
      <c r="F145" s="443">
        <f t="shared" si="4"/>
        <v>0</v>
      </c>
      <c r="G145" s="443">
        <f>G15</f>
        <v>0</v>
      </c>
      <c r="H145" s="443">
        <f>H15</f>
        <v>0</v>
      </c>
      <c r="I145" s="443">
        <f t="shared" si="4"/>
        <v>0</v>
      </c>
      <c r="J145" s="443">
        <f t="shared" si="4"/>
        <v>0</v>
      </c>
      <c r="K145" s="443">
        <f>K15</f>
        <v>2760</v>
      </c>
      <c r="L145" s="443">
        <f t="shared" si="4"/>
        <v>0</v>
      </c>
    </row>
    <row r="146" spans="2:12" ht="12.75" outlineLevel="1">
      <c r="B146" s="444"/>
      <c r="C146" s="444"/>
      <c r="E146" s="441"/>
      <c r="F146" s="441"/>
      <c r="G146" s="441"/>
      <c r="H146" s="441"/>
      <c r="I146" s="441"/>
      <c r="J146" s="441"/>
      <c r="K146" s="441"/>
      <c r="L146" s="441"/>
    </row>
    <row r="147" spans="2:12" ht="12.75" outlineLevel="1">
      <c r="B147" s="444" t="s">
        <v>231</v>
      </c>
      <c r="C147" s="444" t="s">
        <v>45</v>
      </c>
      <c r="E147" s="443">
        <f aca="true" t="shared" si="5" ref="E147:L148">E17*(E$132/E$131)</f>
        <v>0</v>
      </c>
      <c r="F147" s="443">
        <f t="shared" si="5"/>
        <v>0</v>
      </c>
      <c r="G147" s="443">
        <f t="shared" si="5"/>
        <v>0</v>
      </c>
      <c r="H147" s="443">
        <f t="shared" si="5"/>
        <v>0</v>
      </c>
      <c r="I147" s="443">
        <f t="shared" si="5"/>
        <v>0</v>
      </c>
      <c r="J147" s="443">
        <f t="shared" si="5"/>
        <v>0</v>
      </c>
      <c r="K147" s="443">
        <f t="shared" si="5"/>
        <v>4.253915318187031</v>
      </c>
      <c r="L147" s="443">
        <f t="shared" si="5"/>
        <v>0</v>
      </c>
    </row>
    <row r="148" spans="2:12" ht="12.75" outlineLevel="1">
      <c r="B148" s="444" t="s">
        <v>236</v>
      </c>
      <c r="C148" s="444" t="s">
        <v>45</v>
      </c>
      <c r="E148" s="443">
        <f t="shared" si="5"/>
        <v>0</v>
      </c>
      <c r="F148" s="443">
        <f t="shared" si="5"/>
        <v>0</v>
      </c>
      <c r="G148" s="443">
        <f t="shared" si="5"/>
        <v>0</v>
      </c>
      <c r="H148" s="443">
        <f t="shared" si="5"/>
        <v>0</v>
      </c>
      <c r="I148" s="443">
        <f t="shared" si="5"/>
        <v>0</v>
      </c>
      <c r="J148" s="443">
        <f t="shared" si="5"/>
        <v>0</v>
      </c>
      <c r="K148" s="443">
        <f t="shared" si="5"/>
        <v>0.2895857845714176</v>
      </c>
      <c r="L148" s="443">
        <f t="shared" si="5"/>
        <v>0</v>
      </c>
    </row>
    <row r="149" spans="2:12" ht="12.75" outlineLevel="1">
      <c r="B149" s="444"/>
      <c r="C149" s="444"/>
      <c r="E149" s="441"/>
      <c r="F149" s="441"/>
      <c r="G149" s="441"/>
      <c r="H149" s="441"/>
      <c r="I149" s="441"/>
      <c r="J149" s="441"/>
      <c r="K149" s="441"/>
      <c r="L149" s="441"/>
    </row>
    <row r="150" spans="2:12" ht="12.75" outlineLevel="1">
      <c r="B150" s="444" t="s">
        <v>234</v>
      </c>
      <c r="C150" s="444" t="s">
        <v>45</v>
      </c>
      <c r="E150" s="443">
        <f aca="true" t="shared" si="6" ref="E150:L150">E20*(E$132/E$131)</f>
        <v>0</v>
      </c>
      <c r="F150" s="443">
        <f t="shared" si="6"/>
        <v>0</v>
      </c>
      <c r="G150" s="443">
        <f t="shared" si="6"/>
        <v>0</v>
      </c>
      <c r="H150" s="443">
        <f t="shared" si="6"/>
        <v>0</v>
      </c>
      <c r="I150" s="443">
        <f t="shared" si="6"/>
        <v>0</v>
      </c>
      <c r="J150" s="443">
        <f t="shared" si="6"/>
        <v>0</v>
      </c>
      <c r="K150" s="443">
        <f t="shared" si="6"/>
        <v>0.005991430025615537</v>
      </c>
      <c r="L150" s="443">
        <f t="shared" si="6"/>
        <v>0</v>
      </c>
    </row>
    <row r="151" spans="2:12" ht="12.75" outlineLevel="1">
      <c r="B151" s="444" t="s">
        <v>275</v>
      </c>
      <c r="C151" s="444"/>
      <c r="E151" s="441"/>
      <c r="F151" s="441"/>
      <c r="G151" s="441"/>
      <c r="H151" s="441"/>
      <c r="I151" s="441"/>
      <c r="J151" s="441"/>
      <c r="K151" s="441"/>
      <c r="L151" s="441"/>
    </row>
    <row r="152" spans="2:12" ht="12.75" outlineLevel="1">
      <c r="B152" s="445" t="s">
        <v>237</v>
      </c>
      <c r="C152" s="444"/>
      <c r="E152" s="441"/>
      <c r="F152" s="441"/>
      <c r="G152" s="441"/>
      <c r="H152" s="441"/>
      <c r="I152" s="441"/>
      <c r="J152" s="441"/>
      <c r="K152" s="441"/>
      <c r="L152" s="441"/>
    </row>
    <row r="153" spans="2:12" ht="12.75" outlineLevel="1">
      <c r="B153" s="444" t="s">
        <v>230</v>
      </c>
      <c r="C153" s="444" t="s">
        <v>45</v>
      </c>
      <c r="E153" s="443">
        <f aca="true" t="shared" si="7" ref="E153:L153">E23</f>
        <v>0</v>
      </c>
      <c r="F153" s="443">
        <f t="shared" si="7"/>
        <v>2760</v>
      </c>
      <c r="G153" s="443">
        <f>G23</f>
        <v>0</v>
      </c>
      <c r="H153" s="443">
        <f>H23</f>
        <v>2760</v>
      </c>
      <c r="I153" s="443">
        <f t="shared" si="7"/>
        <v>2760</v>
      </c>
      <c r="J153" s="443">
        <f t="shared" si="7"/>
        <v>0</v>
      </c>
      <c r="K153" s="443">
        <f>K23</f>
        <v>2760</v>
      </c>
      <c r="L153" s="443">
        <f t="shared" si="7"/>
        <v>0</v>
      </c>
    </row>
    <row r="154" spans="2:12" ht="12.75" outlineLevel="1">
      <c r="B154" s="444"/>
      <c r="C154" s="444"/>
      <c r="E154" s="441"/>
      <c r="F154" s="441"/>
      <c r="G154" s="441"/>
      <c r="H154" s="441"/>
      <c r="I154" s="441"/>
      <c r="J154" s="441"/>
      <c r="K154" s="441"/>
      <c r="L154" s="441"/>
    </row>
    <row r="155" spans="2:12" ht="12.75" outlineLevel="1">
      <c r="B155" s="444" t="s">
        <v>231</v>
      </c>
      <c r="C155" s="444" t="s">
        <v>45</v>
      </c>
      <c r="E155" s="443">
        <f aca="true" t="shared" si="8" ref="E155:L156">E25*(E$132/E$131)</f>
        <v>0</v>
      </c>
      <c r="F155" s="443">
        <f t="shared" si="8"/>
        <v>5.947913444733842</v>
      </c>
      <c r="G155" s="443">
        <f t="shared" si="8"/>
        <v>0</v>
      </c>
      <c r="H155" s="443">
        <f t="shared" si="8"/>
        <v>11.038117056034558</v>
      </c>
      <c r="I155" s="443">
        <f t="shared" si="8"/>
        <v>17.218083850769712</v>
      </c>
      <c r="J155" s="443">
        <f t="shared" si="8"/>
        <v>0</v>
      </c>
      <c r="K155" s="443">
        <f t="shared" si="8"/>
        <v>14.139774860452667</v>
      </c>
      <c r="L155" s="443">
        <f t="shared" si="8"/>
        <v>0</v>
      </c>
    </row>
    <row r="156" spans="2:12" ht="12.75" outlineLevel="1">
      <c r="B156" s="444" t="s">
        <v>232</v>
      </c>
      <c r="C156" s="444" t="s">
        <v>45</v>
      </c>
      <c r="E156" s="443">
        <f t="shared" si="8"/>
        <v>0</v>
      </c>
      <c r="F156" s="443">
        <f t="shared" si="8"/>
        <v>0.565051777249715</v>
      </c>
      <c r="G156" s="443">
        <f t="shared" si="8"/>
        <v>0</v>
      </c>
      <c r="H156" s="443">
        <f t="shared" si="8"/>
        <v>0.9073790895204561</v>
      </c>
      <c r="I156" s="443">
        <f t="shared" si="8"/>
        <v>1.634123698799903</v>
      </c>
      <c r="J156" s="443">
        <f t="shared" si="8"/>
        <v>0</v>
      </c>
      <c r="K156" s="443">
        <f t="shared" si="8"/>
        <v>1.577743240078758</v>
      </c>
      <c r="L156" s="443">
        <f t="shared" si="8"/>
        <v>0</v>
      </c>
    </row>
    <row r="157" spans="2:12" ht="12.75" outlineLevel="1">
      <c r="B157" s="444"/>
      <c r="C157" s="444"/>
      <c r="E157" s="441"/>
      <c r="F157" s="441"/>
      <c r="G157" s="441"/>
      <c r="H157" s="441"/>
      <c r="I157" s="441"/>
      <c r="J157" s="441"/>
      <c r="K157" s="441"/>
      <c r="L157" s="441"/>
    </row>
    <row r="158" spans="2:12" ht="12.75" outlineLevel="1">
      <c r="B158" s="444" t="s">
        <v>234</v>
      </c>
      <c r="C158" s="444" t="s">
        <v>45</v>
      </c>
      <c r="E158" s="443">
        <f aca="true" t="shared" si="9" ref="E158:L158">E28*(E$132/E$131)</f>
        <v>0</v>
      </c>
      <c r="F158" s="443">
        <f t="shared" si="9"/>
        <v>0</v>
      </c>
      <c r="G158" s="443">
        <f t="shared" si="9"/>
        <v>0</v>
      </c>
      <c r="H158" s="443">
        <f t="shared" si="9"/>
        <v>0.005982719271563446</v>
      </c>
      <c r="I158" s="443">
        <f t="shared" si="9"/>
        <v>0</v>
      </c>
      <c r="J158" s="443">
        <f t="shared" si="9"/>
        <v>0</v>
      </c>
      <c r="K158" s="443">
        <f t="shared" si="9"/>
        <v>0.005991430025615537</v>
      </c>
      <c r="L158" s="443">
        <f t="shared" si="9"/>
        <v>0</v>
      </c>
    </row>
    <row r="159" spans="2:12" ht="12.75" outlineLevel="1">
      <c r="B159" s="444" t="s">
        <v>275</v>
      </c>
      <c r="C159" s="444"/>
      <c r="E159" s="441"/>
      <c r="F159" s="441"/>
      <c r="G159" s="441"/>
      <c r="H159" s="441"/>
      <c r="I159" s="441"/>
      <c r="J159" s="441"/>
      <c r="K159" s="441"/>
      <c r="L159" s="441"/>
    </row>
    <row r="160" spans="2:12" ht="12.75" outlineLevel="1">
      <c r="B160" s="445" t="s">
        <v>261</v>
      </c>
      <c r="C160" s="444"/>
      <c r="E160" s="441"/>
      <c r="F160" s="441"/>
      <c r="G160" s="441"/>
      <c r="H160" s="441"/>
      <c r="I160" s="441"/>
      <c r="J160" s="441"/>
      <c r="K160" s="441"/>
      <c r="L160" s="441"/>
    </row>
    <row r="161" spans="2:12" ht="12.75" outlineLevel="1">
      <c r="B161" s="444" t="s">
        <v>230</v>
      </c>
      <c r="C161" s="444" t="s">
        <v>45</v>
      </c>
      <c r="E161" s="443">
        <f aca="true" t="shared" si="10" ref="E161:L161">E31</f>
        <v>0</v>
      </c>
      <c r="F161" s="443">
        <f t="shared" si="10"/>
        <v>0</v>
      </c>
      <c r="G161" s="443">
        <f>G31</f>
        <v>0</v>
      </c>
      <c r="H161" s="443">
        <f>H31</f>
        <v>2760</v>
      </c>
      <c r="I161" s="443">
        <f t="shared" si="10"/>
        <v>2760</v>
      </c>
      <c r="J161" s="443">
        <f t="shared" si="10"/>
        <v>0</v>
      </c>
      <c r="K161" s="443">
        <f>K31</f>
        <v>2760</v>
      </c>
      <c r="L161" s="443">
        <f t="shared" si="10"/>
        <v>0</v>
      </c>
    </row>
    <row r="162" spans="2:12" ht="12.75" outlineLevel="1">
      <c r="B162" s="444"/>
      <c r="C162" s="444"/>
      <c r="E162" s="441"/>
      <c r="F162" s="441"/>
      <c r="G162" s="441"/>
      <c r="H162" s="441"/>
      <c r="I162" s="441"/>
      <c r="J162" s="441"/>
      <c r="K162" s="441"/>
      <c r="L162" s="441"/>
    </row>
    <row r="163" spans="2:12" ht="12.75" outlineLevel="1">
      <c r="B163" s="444" t="s">
        <v>231</v>
      </c>
      <c r="C163" s="444" t="s">
        <v>45</v>
      </c>
      <c r="E163" s="443">
        <f aca="true" t="shared" si="11" ref="E163:L164">E33*(E$132/E$131)</f>
        <v>0</v>
      </c>
      <c r="F163" s="443">
        <f t="shared" si="11"/>
        <v>0</v>
      </c>
      <c r="G163" s="443">
        <f t="shared" si="11"/>
        <v>0</v>
      </c>
      <c r="H163" s="443">
        <f t="shared" si="11"/>
        <v>5.5240441274102485</v>
      </c>
      <c r="I163" s="443">
        <f t="shared" si="11"/>
        <v>8.609041925384856</v>
      </c>
      <c r="J163" s="443">
        <f t="shared" si="11"/>
        <v>0</v>
      </c>
      <c r="K163" s="443">
        <f t="shared" si="11"/>
        <v>7.069887430226333</v>
      </c>
      <c r="L163" s="443">
        <f t="shared" si="11"/>
        <v>0</v>
      </c>
    </row>
    <row r="164" spans="2:12" ht="12.75" outlineLevel="1">
      <c r="B164" s="444" t="s">
        <v>236</v>
      </c>
      <c r="C164" s="444" t="s">
        <v>45</v>
      </c>
      <c r="E164" s="443">
        <f t="shared" si="11"/>
        <v>0</v>
      </c>
      <c r="F164" s="443">
        <f t="shared" si="11"/>
        <v>0</v>
      </c>
      <c r="G164" s="443">
        <f t="shared" si="11"/>
        <v>0</v>
      </c>
      <c r="H164" s="443">
        <f t="shared" si="11"/>
        <v>0.31907836115005045</v>
      </c>
      <c r="I164" s="443">
        <f t="shared" si="11"/>
        <v>0.5579934581267962</v>
      </c>
      <c r="J164" s="443">
        <f t="shared" si="11"/>
        <v>0</v>
      </c>
      <c r="K164" s="443">
        <f t="shared" si="11"/>
        <v>0.5492144190147575</v>
      </c>
      <c r="L164" s="443">
        <f t="shared" si="11"/>
        <v>0</v>
      </c>
    </row>
    <row r="165" spans="2:12" ht="12.75" outlineLevel="1">
      <c r="B165" s="444"/>
      <c r="C165" s="444"/>
      <c r="E165" s="441"/>
      <c r="F165" s="441"/>
      <c r="G165" s="441"/>
      <c r="H165" s="441"/>
      <c r="I165" s="441"/>
      <c r="J165" s="441"/>
      <c r="K165" s="441"/>
      <c r="L165" s="441"/>
    </row>
    <row r="166" spans="2:12" ht="12.75" outlineLevel="1">
      <c r="B166" s="444" t="s">
        <v>234</v>
      </c>
      <c r="C166" s="444" t="s">
        <v>45</v>
      </c>
      <c r="E166" s="443">
        <f aca="true" t="shared" si="12" ref="E166:L166">E36*(E$132/E$131)</f>
        <v>0</v>
      </c>
      <c r="F166" s="443">
        <f t="shared" si="12"/>
        <v>0</v>
      </c>
      <c r="G166" s="443">
        <f t="shared" si="12"/>
        <v>0</v>
      </c>
      <c r="H166" s="443">
        <f t="shared" si="12"/>
        <v>0.005982719271563446</v>
      </c>
      <c r="I166" s="443">
        <f t="shared" si="12"/>
        <v>0</v>
      </c>
      <c r="J166" s="443">
        <f t="shared" si="12"/>
        <v>0</v>
      </c>
      <c r="K166" s="443">
        <f t="shared" si="12"/>
        <v>0.005991430025615537</v>
      </c>
      <c r="L166" s="443">
        <f t="shared" si="12"/>
        <v>0</v>
      </c>
    </row>
    <row r="167" spans="2:12" ht="12.75" outlineLevel="1">
      <c r="B167" s="444" t="s">
        <v>275</v>
      </c>
      <c r="C167" s="444"/>
      <c r="E167" s="441"/>
      <c r="F167" s="441"/>
      <c r="G167" s="441"/>
      <c r="H167" s="441"/>
      <c r="I167" s="441"/>
      <c r="J167" s="441"/>
      <c r="K167" s="441"/>
      <c r="L167" s="441"/>
    </row>
    <row r="168" spans="2:12" ht="12.75" outlineLevel="1">
      <c r="B168" s="445" t="s">
        <v>239</v>
      </c>
      <c r="C168" s="444"/>
      <c r="E168" s="441"/>
      <c r="F168" s="441"/>
      <c r="G168" s="441"/>
      <c r="H168" s="441"/>
      <c r="I168" s="441"/>
      <c r="J168" s="441"/>
      <c r="K168" s="441"/>
      <c r="L168" s="441"/>
    </row>
    <row r="169" spans="2:12" ht="12.75" outlineLevel="1">
      <c r="B169" s="444" t="s">
        <v>230</v>
      </c>
      <c r="C169" s="444" t="s">
        <v>45</v>
      </c>
      <c r="E169" s="443">
        <f aca="true" t="shared" si="13" ref="E169:L169">E39</f>
        <v>0</v>
      </c>
      <c r="F169" s="443">
        <f t="shared" si="13"/>
        <v>2760</v>
      </c>
      <c r="G169" s="443">
        <f>G39</f>
        <v>2760</v>
      </c>
      <c r="H169" s="443">
        <f>H39</f>
        <v>2760</v>
      </c>
      <c r="I169" s="443">
        <f t="shared" si="13"/>
        <v>2760</v>
      </c>
      <c r="J169" s="443">
        <f t="shared" si="13"/>
        <v>0</v>
      </c>
      <c r="K169" s="443">
        <f>K39</f>
        <v>2760</v>
      </c>
      <c r="L169" s="443">
        <f t="shared" si="13"/>
        <v>2760</v>
      </c>
    </row>
    <row r="170" spans="2:12" ht="12.75" outlineLevel="1">
      <c r="B170" s="444"/>
      <c r="C170" s="444"/>
      <c r="E170" s="441"/>
      <c r="F170" s="441"/>
      <c r="G170" s="441"/>
      <c r="H170" s="441"/>
      <c r="I170" s="441"/>
      <c r="J170" s="441"/>
      <c r="K170" s="441"/>
      <c r="L170" s="441"/>
    </row>
    <row r="171" spans="2:12" ht="12.75" outlineLevel="1">
      <c r="B171" s="444" t="s">
        <v>231</v>
      </c>
      <c r="C171" s="444" t="s">
        <v>45</v>
      </c>
      <c r="E171" s="443">
        <f aca="true" t="shared" si="14" ref="E171:L172">E41*(E$132/E$131)</f>
        <v>0</v>
      </c>
      <c r="F171" s="443">
        <f t="shared" si="14"/>
        <v>15.702491494097345</v>
      </c>
      <c r="G171" s="443">
        <f t="shared" si="14"/>
        <v>14.037619330837106</v>
      </c>
      <c r="H171" s="443">
        <f t="shared" si="14"/>
        <v>14.13915987846161</v>
      </c>
      <c r="I171" s="443">
        <f t="shared" si="14"/>
        <v>20.8051846530134</v>
      </c>
      <c r="J171" s="443">
        <f t="shared" si="14"/>
        <v>0</v>
      </c>
      <c r="K171" s="443">
        <f t="shared" si="14"/>
        <v>16.536346870698882</v>
      </c>
      <c r="L171" s="443">
        <f t="shared" si="14"/>
        <v>22.683956825704254</v>
      </c>
    </row>
    <row r="172" spans="2:12" ht="12.75" outlineLevel="1">
      <c r="B172" s="444" t="s">
        <v>232</v>
      </c>
      <c r="C172" s="444" t="s">
        <v>45</v>
      </c>
      <c r="E172" s="443">
        <f t="shared" si="14"/>
        <v>0</v>
      </c>
      <c r="F172" s="443">
        <f t="shared" si="14"/>
        <v>1.5365443065562427</v>
      </c>
      <c r="G172" s="443">
        <f t="shared" si="14"/>
        <v>1.3754720817567978</v>
      </c>
      <c r="H172" s="443">
        <f t="shared" si="14"/>
        <v>1.3959678300314706</v>
      </c>
      <c r="I172" s="443">
        <f t="shared" si="14"/>
        <v>1.7238012188559952</v>
      </c>
      <c r="J172" s="443">
        <f t="shared" si="14"/>
        <v>0</v>
      </c>
      <c r="K172" s="443">
        <f t="shared" si="14"/>
        <v>1.7375147074285058</v>
      </c>
      <c r="L172" s="443">
        <f t="shared" si="14"/>
        <v>2.4995002711313825</v>
      </c>
    </row>
    <row r="173" spans="2:12" ht="12.75" outlineLevel="1">
      <c r="B173" s="444"/>
      <c r="C173" s="444"/>
      <c r="E173" s="441"/>
      <c r="F173" s="441"/>
      <c r="G173" s="441"/>
      <c r="H173" s="441"/>
      <c r="I173" s="441"/>
      <c r="J173" s="441"/>
      <c r="K173" s="441"/>
      <c r="L173" s="441"/>
    </row>
    <row r="174" spans="2:12" ht="12.75" outlineLevel="1">
      <c r="B174" s="444" t="s">
        <v>234</v>
      </c>
      <c r="C174" s="444" t="s">
        <v>45</v>
      </c>
      <c r="E174" s="443">
        <f aca="true" t="shared" si="15" ref="E174:L174">E44*(E$132/E$131)</f>
        <v>0</v>
      </c>
      <c r="F174" s="443">
        <f t="shared" si="15"/>
        <v>0</v>
      </c>
      <c r="G174" s="443">
        <f t="shared" si="15"/>
        <v>0.006243277534215253</v>
      </c>
      <c r="H174" s="443">
        <f t="shared" si="15"/>
        <v>0.005982719271563446</v>
      </c>
      <c r="I174" s="443">
        <f t="shared" si="15"/>
        <v>0</v>
      </c>
      <c r="J174" s="443">
        <f t="shared" si="15"/>
        <v>0</v>
      </c>
      <c r="K174" s="443">
        <f t="shared" si="15"/>
        <v>0.005991430025615537</v>
      </c>
      <c r="L174" s="443">
        <f t="shared" si="15"/>
        <v>0</v>
      </c>
    </row>
    <row r="175" spans="2:12" ht="12.75" outlineLevel="1">
      <c r="B175" s="444" t="s">
        <v>275</v>
      </c>
      <c r="C175" s="444"/>
      <c r="E175" s="441"/>
      <c r="F175" s="441"/>
      <c r="G175" s="441"/>
      <c r="H175" s="441"/>
      <c r="I175" s="441"/>
      <c r="J175" s="441"/>
      <c r="K175" s="441"/>
      <c r="L175" s="441"/>
    </row>
    <row r="176" spans="2:12" ht="12.75" outlineLevel="1">
      <c r="B176" s="445" t="s">
        <v>262</v>
      </c>
      <c r="C176" s="444"/>
      <c r="E176" s="441"/>
      <c r="F176" s="441"/>
      <c r="G176" s="441"/>
      <c r="H176" s="441"/>
      <c r="I176" s="441"/>
      <c r="J176" s="441"/>
      <c r="K176" s="441"/>
      <c r="L176" s="441"/>
    </row>
    <row r="177" spans="2:12" ht="12.75" outlineLevel="1">
      <c r="B177" s="444" t="s">
        <v>230</v>
      </c>
      <c r="C177" s="444" t="s">
        <v>45</v>
      </c>
      <c r="E177" s="443">
        <f aca="true" t="shared" si="16" ref="E177:L177">E47</f>
        <v>0</v>
      </c>
      <c r="F177" s="443">
        <f t="shared" si="16"/>
        <v>2760</v>
      </c>
      <c r="G177" s="443">
        <f>G47</f>
        <v>0</v>
      </c>
      <c r="H177" s="443">
        <f>H47</f>
        <v>2760</v>
      </c>
      <c r="I177" s="443">
        <f t="shared" si="16"/>
        <v>2760</v>
      </c>
      <c r="J177" s="443">
        <f t="shared" si="16"/>
        <v>0</v>
      </c>
      <c r="K177" s="443">
        <f>K47</f>
        <v>2760</v>
      </c>
      <c r="L177" s="443">
        <f t="shared" si="16"/>
        <v>0</v>
      </c>
    </row>
    <row r="178" spans="2:12" ht="12.75" outlineLevel="1">
      <c r="B178" s="444"/>
      <c r="C178" s="444"/>
      <c r="E178" s="441"/>
      <c r="F178" s="441"/>
      <c r="G178" s="441"/>
      <c r="H178" s="441"/>
      <c r="I178" s="441"/>
      <c r="J178" s="441"/>
      <c r="K178" s="441"/>
      <c r="L178" s="441"/>
    </row>
    <row r="179" spans="2:12" ht="12.75" outlineLevel="1">
      <c r="B179" s="444" t="s">
        <v>231</v>
      </c>
      <c r="C179" s="444" t="s">
        <v>45</v>
      </c>
      <c r="E179" s="443">
        <f aca="true" t="shared" si="17" ref="E179:L180">E49*(E$132/E$131)</f>
        <v>0</v>
      </c>
      <c r="F179" s="443">
        <f t="shared" si="17"/>
        <v>7.851245747048672</v>
      </c>
      <c r="G179" s="443">
        <f t="shared" si="17"/>
        <v>0</v>
      </c>
      <c r="H179" s="443">
        <f t="shared" si="17"/>
        <v>7.069579939230805</v>
      </c>
      <c r="I179" s="443">
        <f t="shared" si="17"/>
        <v>10.4025923265067</v>
      </c>
      <c r="J179" s="443">
        <f t="shared" si="17"/>
        <v>0</v>
      </c>
      <c r="K179" s="443">
        <f t="shared" si="17"/>
        <v>8.268173435349441</v>
      </c>
      <c r="L179" s="443">
        <f t="shared" si="17"/>
        <v>0</v>
      </c>
    </row>
    <row r="180" spans="2:12" ht="12.75" outlineLevel="1">
      <c r="B180" s="444" t="s">
        <v>236</v>
      </c>
      <c r="C180" s="444" t="s">
        <v>45</v>
      </c>
      <c r="E180" s="443">
        <f t="shared" si="17"/>
        <v>0</v>
      </c>
      <c r="F180" s="443">
        <f t="shared" si="17"/>
        <v>0.5253990209514895</v>
      </c>
      <c r="G180" s="443">
        <f t="shared" si="17"/>
        <v>0</v>
      </c>
      <c r="H180" s="443">
        <f t="shared" si="17"/>
        <v>0.4786175417250757</v>
      </c>
      <c r="I180" s="443">
        <f t="shared" si="17"/>
        <v>0.5878859648121603</v>
      </c>
      <c r="J180" s="443">
        <f t="shared" si="17"/>
        <v>0</v>
      </c>
      <c r="K180" s="443">
        <f t="shared" si="17"/>
        <v>0.5991430025615536</v>
      </c>
      <c r="L180" s="443">
        <f t="shared" si="17"/>
        <v>0</v>
      </c>
    </row>
    <row r="181" spans="2:12" ht="12.75" outlineLevel="1">
      <c r="B181" s="444"/>
      <c r="C181" s="444"/>
      <c r="E181" s="441"/>
      <c r="F181" s="441"/>
      <c r="G181" s="441"/>
      <c r="H181" s="441"/>
      <c r="I181" s="441"/>
      <c r="J181" s="441"/>
      <c r="K181" s="441"/>
      <c r="L181" s="441"/>
    </row>
    <row r="182" spans="2:12" ht="12.75" outlineLevel="1">
      <c r="B182" s="444" t="s">
        <v>234</v>
      </c>
      <c r="C182" s="444" t="s">
        <v>45</v>
      </c>
      <c r="E182" s="443">
        <f aca="true" t="shared" si="18" ref="E182:L182">E52*(E$132/E$131)</f>
        <v>0</v>
      </c>
      <c r="F182" s="443">
        <f t="shared" si="18"/>
        <v>0</v>
      </c>
      <c r="G182" s="443">
        <f t="shared" si="18"/>
        <v>0</v>
      </c>
      <c r="H182" s="443">
        <f t="shared" si="18"/>
        <v>0.005982719271563446</v>
      </c>
      <c r="I182" s="443">
        <f t="shared" si="18"/>
        <v>0</v>
      </c>
      <c r="J182" s="443">
        <f t="shared" si="18"/>
        <v>0</v>
      </c>
      <c r="K182" s="443">
        <f t="shared" si="18"/>
        <v>0</v>
      </c>
      <c r="L182" s="443">
        <f t="shared" si="18"/>
        <v>0</v>
      </c>
    </row>
    <row r="183" spans="2:12" ht="12.75" outlineLevel="1">
      <c r="B183" s="444" t="s">
        <v>275</v>
      </c>
      <c r="C183" s="444"/>
      <c r="E183" s="441"/>
      <c r="F183" s="441"/>
      <c r="G183" s="441"/>
      <c r="H183" s="441"/>
      <c r="I183" s="441"/>
      <c r="J183" s="441"/>
      <c r="K183" s="441"/>
      <c r="L183" s="441"/>
    </row>
    <row r="184" spans="2:12" ht="12.75" outlineLevel="1">
      <c r="B184" s="445" t="s">
        <v>241</v>
      </c>
      <c r="C184" s="444"/>
      <c r="E184" s="441"/>
      <c r="F184" s="441"/>
      <c r="G184" s="441"/>
      <c r="H184" s="441"/>
      <c r="I184" s="441"/>
      <c r="J184" s="441"/>
      <c r="K184" s="441"/>
      <c r="L184" s="441"/>
    </row>
    <row r="185" spans="2:12" ht="12.75" outlineLevel="1">
      <c r="B185" s="444" t="s">
        <v>230</v>
      </c>
      <c r="C185" s="444" t="s">
        <v>45</v>
      </c>
      <c r="E185" s="443">
        <f aca="true" t="shared" si="19" ref="E185:L185">E55</f>
        <v>0</v>
      </c>
      <c r="F185" s="443">
        <f t="shared" si="19"/>
        <v>0</v>
      </c>
      <c r="G185" s="443">
        <f>G55</f>
        <v>441</v>
      </c>
      <c r="H185" s="443">
        <f>H55</f>
        <v>441</v>
      </c>
      <c r="I185" s="443">
        <f t="shared" si="19"/>
        <v>0</v>
      </c>
      <c r="J185" s="443">
        <f t="shared" si="19"/>
        <v>441</v>
      </c>
      <c r="K185" s="443">
        <f>K55</f>
        <v>0</v>
      </c>
      <c r="L185" s="443">
        <f t="shared" si="19"/>
        <v>0</v>
      </c>
    </row>
    <row r="186" spans="2:12" ht="12.75" outlineLevel="1">
      <c r="B186" s="444" t="s">
        <v>231</v>
      </c>
      <c r="C186" s="444" t="s">
        <v>45</v>
      </c>
      <c r="E186" s="443">
        <f aca="true" t="shared" si="20" ref="E186:L189">E56*(E$132/E$131)</f>
        <v>0</v>
      </c>
      <c r="F186" s="443">
        <f t="shared" si="20"/>
        <v>0</v>
      </c>
      <c r="G186" s="443">
        <f t="shared" si="20"/>
        <v>12.418269220400026</v>
      </c>
      <c r="H186" s="443">
        <f t="shared" si="20"/>
        <v>10.489701122807908</v>
      </c>
      <c r="I186" s="443">
        <f t="shared" si="20"/>
        <v>0</v>
      </c>
      <c r="J186" s="443">
        <f t="shared" si="20"/>
        <v>16.722795325702855</v>
      </c>
      <c r="K186" s="443">
        <f t="shared" si="20"/>
        <v>0</v>
      </c>
      <c r="L186" s="443">
        <f t="shared" si="20"/>
        <v>0</v>
      </c>
    </row>
    <row r="187" spans="2:12" ht="12.75" outlineLevel="1">
      <c r="B187" s="444" t="s">
        <v>232</v>
      </c>
      <c r="C187" s="444" t="s">
        <v>45</v>
      </c>
      <c r="E187" s="443">
        <f t="shared" si="20"/>
        <v>0</v>
      </c>
      <c r="F187" s="443">
        <f t="shared" si="20"/>
        <v>0</v>
      </c>
      <c r="G187" s="443">
        <f t="shared" si="20"/>
        <v>1.0535530838988239</v>
      </c>
      <c r="H187" s="443">
        <f t="shared" si="20"/>
        <v>1.017062276165786</v>
      </c>
      <c r="I187" s="443">
        <f t="shared" si="20"/>
        <v>0</v>
      </c>
      <c r="J187" s="443">
        <f t="shared" si="20"/>
        <v>1.6351623503836623</v>
      </c>
      <c r="K187" s="443">
        <f t="shared" si="20"/>
        <v>0</v>
      </c>
      <c r="L187" s="443">
        <f t="shared" si="20"/>
        <v>0</v>
      </c>
    </row>
    <row r="188" spans="2:12" ht="12.75" outlineLevel="1">
      <c r="B188" s="444" t="s">
        <v>233</v>
      </c>
      <c r="C188" s="444" t="s">
        <v>45</v>
      </c>
      <c r="E188" s="443">
        <f t="shared" si="20"/>
        <v>0</v>
      </c>
      <c r="F188" s="443">
        <f t="shared" si="20"/>
        <v>0</v>
      </c>
      <c r="G188" s="443">
        <f t="shared" si="20"/>
        <v>0.005560419053910459</v>
      </c>
      <c r="H188" s="443">
        <f t="shared" si="20"/>
        <v>0.003988479514375631</v>
      </c>
      <c r="I188" s="443">
        <f t="shared" si="20"/>
        <v>0</v>
      </c>
      <c r="J188" s="443">
        <f t="shared" si="20"/>
        <v>0.002407601006699871</v>
      </c>
      <c r="K188" s="443">
        <f t="shared" si="20"/>
        <v>0</v>
      </c>
      <c r="L188" s="443">
        <f t="shared" si="20"/>
        <v>0</v>
      </c>
    </row>
    <row r="189" spans="2:12" ht="12.75" outlineLevel="1">
      <c r="B189" s="444" t="s">
        <v>234</v>
      </c>
      <c r="C189" s="444" t="s">
        <v>45</v>
      </c>
      <c r="E189" s="443">
        <f t="shared" si="20"/>
        <v>0</v>
      </c>
      <c r="F189" s="443">
        <f t="shared" si="20"/>
        <v>0</v>
      </c>
      <c r="G189" s="443">
        <f t="shared" si="20"/>
        <v>0.006048175111271026</v>
      </c>
      <c r="H189" s="443">
        <f t="shared" si="20"/>
        <v>0.005982719271563446</v>
      </c>
      <c r="I189" s="443">
        <f t="shared" si="20"/>
        <v>0</v>
      </c>
      <c r="J189" s="443">
        <f t="shared" si="20"/>
        <v>0.008426603523449547</v>
      </c>
      <c r="K189" s="443">
        <f t="shared" si="20"/>
        <v>0</v>
      </c>
      <c r="L189" s="443">
        <f t="shared" si="20"/>
        <v>0</v>
      </c>
    </row>
    <row r="190" spans="2:12" ht="12.75" outlineLevel="1">
      <c r="B190" s="444" t="s">
        <v>275</v>
      </c>
      <c r="C190" s="444"/>
      <c r="E190" s="441"/>
      <c r="F190" s="441"/>
      <c r="G190" s="441"/>
      <c r="H190" s="441"/>
      <c r="I190" s="441"/>
      <c r="J190" s="441"/>
      <c r="K190" s="441"/>
      <c r="L190" s="441"/>
    </row>
    <row r="191" spans="2:12" ht="12.75" outlineLevel="1">
      <c r="B191" s="445" t="s">
        <v>243</v>
      </c>
      <c r="C191" s="444"/>
      <c r="E191" s="441"/>
      <c r="F191" s="441"/>
      <c r="G191" s="441"/>
      <c r="H191" s="441"/>
      <c r="I191" s="441"/>
      <c r="J191" s="441"/>
      <c r="K191" s="441"/>
      <c r="L191" s="441"/>
    </row>
    <row r="192" spans="2:12" ht="12.75" outlineLevel="1">
      <c r="B192" s="444" t="s">
        <v>230</v>
      </c>
      <c r="C192" s="444" t="s">
        <v>45</v>
      </c>
      <c r="E192" s="443">
        <f aca="true" t="shared" si="21" ref="E192:L192">E62</f>
        <v>441</v>
      </c>
      <c r="F192" s="443">
        <f t="shared" si="21"/>
        <v>441</v>
      </c>
      <c r="G192" s="443">
        <f>G62</f>
        <v>441</v>
      </c>
      <c r="H192" s="443">
        <f>H62</f>
        <v>441</v>
      </c>
      <c r="I192" s="443">
        <f t="shared" si="21"/>
        <v>441</v>
      </c>
      <c r="J192" s="443">
        <f t="shared" si="21"/>
        <v>441</v>
      </c>
      <c r="K192" s="443">
        <f>K62</f>
        <v>441</v>
      </c>
      <c r="L192" s="443">
        <f t="shared" si="21"/>
        <v>441</v>
      </c>
    </row>
    <row r="193" spans="2:12" ht="12.75" outlineLevel="1">
      <c r="B193" s="444" t="s">
        <v>231</v>
      </c>
      <c r="C193" s="444" t="s">
        <v>45</v>
      </c>
      <c r="E193" s="443">
        <f aca="true" t="shared" si="22" ref="E193:L196">E63*(E$132/E$131)</f>
        <v>13.856911016534891</v>
      </c>
      <c r="F193" s="443">
        <f t="shared" si="22"/>
        <v>10.468327662731564</v>
      </c>
      <c r="G193" s="443">
        <f t="shared" si="22"/>
        <v>13.18892379102972</v>
      </c>
      <c r="H193" s="443">
        <f t="shared" si="22"/>
        <v>13.221809590155216</v>
      </c>
      <c r="I193" s="443">
        <f t="shared" si="22"/>
        <v>13.152702941560195</v>
      </c>
      <c r="J193" s="443">
        <f t="shared" si="22"/>
        <v>13.09133047393055</v>
      </c>
      <c r="K193" s="443">
        <f t="shared" si="22"/>
        <v>9.945773842521792</v>
      </c>
      <c r="L193" s="443">
        <f t="shared" si="22"/>
        <v>11.307263131308634</v>
      </c>
    </row>
    <row r="194" spans="2:12" ht="12.75" outlineLevel="1">
      <c r="B194" s="444" t="s">
        <v>232</v>
      </c>
      <c r="C194" s="444" t="s">
        <v>45</v>
      </c>
      <c r="E194" s="443">
        <f t="shared" si="22"/>
        <v>1.3025295966374084</v>
      </c>
      <c r="F194" s="443">
        <f t="shared" si="22"/>
        <v>1.0210584746793097</v>
      </c>
      <c r="G194" s="443">
        <f t="shared" si="22"/>
        <v>1.3266964760207411</v>
      </c>
      <c r="H194" s="443">
        <f t="shared" si="22"/>
        <v>1.3261694385298974</v>
      </c>
      <c r="I194" s="443">
        <f t="shared" si="22"/>
        <v>1.1957002674145631</v>
      </c>
      <c r="J194" s="443">
        <f t="shared" si="22"/>
        <v>1.3944022497136752</v>
      </c>
      <c r="K194" s="443">
        <f t="shared" si="22"/>
        <v>1.3480717557634958</v>
      </c>
      <c r="L194" s="443">
        <f t="shared" si="22"/>
        <v>1.4580418248266396</v>
      </c>
    </row>
    <row r="195" spans="2:12" ht="12.75" outlineLevel="1">
      <c r="B195" s="444" t="s">
        <v>233</v>
      </c>
      <c r="C195" s="444" t="s">
        <v>45</v>
      </c>
      <c r="E195" s="443">
        <f t="shared" si="22"/>
        <v>0.006813231736257213</v>
      </c>
      <c r="F195" s="443">
        <f t="shared" si="22"/>
        <v>0.007732287478153995</v>
      </c>
      <c r="G195" s="443">
        <f t="shared" si="22"/>
        <v>0.008486955398073858</v>
      </c>
      <c r="H195" s="443">
        <f t="shared" si="22"/>
        <v>0.0076778230651730894</v>
      </c>
      <c r="I195" s="443">
        <f t="shared" si="22"/>
        <v>0.007373484982389807</v>
      </c>
      <c r="J195" s="443">
        <f t="shared" si="22"/>
        <v>0.008627236940674538</v>
      </c>
      <c r="K195" s="443">
        <f t="shared" si="22"/>
        <v>0.008288144868768159</v>
      </c>
      <c r="L195" s="443">
        <f t="shared" si="22"/>
        <v>0.009720278832177598</v>
      </c>
    </row>
    <row r="196" spans="2:12" ht="12.75" outlineLevel="1">
      <c r="B196" s="444" t="s">
        <v>234</v>
      </c>
      <c r="C196" s="444" t="s">
        <v>45</v>
      </c>
      <c r="E196" s="443">
        <f t="shared" si="22"/>
        <v>0.01262451762894719</v>
      </c>
      <c r="F196" s="443">
        <f t="shared" si="22"/>
        <v>0</v>
      </c>
      <c r="G196" s="443">
        <f t="shared" si="22"/>
        <v>0.006048175111271026</v>
      </c>
      <c r="H196" s="443">
        <f t="shared" si="22"/>
        <v>0.005982719271563446</v>
      </c>
      <c r="I196" s="443">
        <f t="shared" si="22"/>
        <v>0</v>
      </c>
      <c r="J196" s="443">
        <f t="shared" si="22"/>
        <v>0.008426603523449547</v>
      </c>
      <c r="K196" s="443">
        <f t="shared" si="22"/>
        <v>0.005991430025615537</v>
      </c>
      <c r="L196" s="443">
        <f t="shared" si="22"/>
        <v>0</v>
      </c>
    </row>
    <row r="197" spans="2:12" ht="12.75" outlineLevel="1">
      <c r="B197" s="444" t="s">
        <v>275</v>
      </c>
      <c r="C197" s="444"/>
      <c r="E197" s="441"/>
      <c r="F197" s="441"/>
      <c r="G197" s="441"/>
      <c r="H197" s="441"/>
      <c r="I197" s="441"/>
      <c r="J197" s="441"/>
      <c r="K197" s="441"/>
      <c r="L197" s="441"/>
    </row>
    <row r="198" spans="2:12" ht="12.75" outlineLevel="1">
      <c r="B198" s="445" t="s">
        <v>244</v>
      </c>
      <c r="C198" s="444"/>
      <c r="E198" s="441"/>
      <c r="F198" s="441"/>
      <c r="G198" s="441"/>
      <c r="H198" s="441"/>
      <c r="I198" s="441"/>
      <c r="J198" s="441"/>
      <c r="K198" s="441"/>
      <c r="L198" s="441"/>
    </row>
    <row r="199" spans="2:12" ht="12.75" outlineLevel="1">
      <c r="B199" s="444" t="s">
        <v>230</v>
      </c>
      <c r="C199" s="444" t="s">
        <v>45</v>
      </c>
      <c r="E199" s="443">
        <f aca="true" t="shared" si="23" ref="E199:L199">E69</f>
        <v>441</v>
      </c>
      <c r="F199" s="443">
        <f t="shared" si="23"/>
        <v>441</v>
      </c>
      <c r="G199" s="443">
        <f>G69</f>
        <v>441</v>
      </c>
      <c r="H199" s="443">
        <f>H69</f>
        <v>441</v>
      </c>
      <c r="I199" s="443">
        <f t="shared" si="23"/>
        <v>441</v>
      </c>
      <c r="J199" s="443">
        <f t="shared" si="23"/>
        <v>441</v>
      </c>
      <c r="K199" s="443">
        <f>K69</f>
        <v>441</v>
      </c>
      <c r="L199" s="443">
        <f t="shared" si="23"/>
        <v>441</v>
      </c>
    </row>
    <row r="200" spans="2:12" ht="12.75" outlineLevel="1">
      <c r="B200" s="444" t="s">
        <v>231</v>
      </c>
      <c r="C200" s="444" t="s">
        <v>45</v>
      </c>
      <c r="E200" s="443">
        <f aca="true" t="shared" si="24" ref="E200:L203">E70*(E$132/E$131)</f>
        <v>15.500102199985161</v>
      </c>
      <c r="F200" s="443">
        <f t="shared" si="24"/>
        <v>18.795406485358942</v>
      </c>
      <c r="G200" s="443">
        <f t="shared" si="24"/>
        <v>21.16861288944859</v>
      </c>
      <c r="H200" s="443">
        <f t="shared" si="24"/>
        <v>20.141821547596937</v>
      </c>
      <c r="I200" s="443">
        <f t="shared" si="24"/>
        <v>20.326904546047572</v>
      </c>
      <c r="J200" s="443">
        <f t="shared" si="24"/>
        <v>18.317830992641518</v>
      </c>
      <c r="K200" s="443">
        <f t="shared" si="24"/>
        <v>16.176861069161948</v>
      </c>
      <c r="L200" s="443">
        <f t="shared" si="24"/>
        <v>22.624444914486837</v>
      </c>
    </row>
    <row r="201" spans="2:12" ht="12.75" outlineLevel="1">
      <c r="B201" s="444" t="s">
        <v>232</v>
      </c>
      <c r="C201" s="444" t="s">
        <v>45</v>
      </c>
      <c r="E201" s="443">
        <f t="shared" si="24"/>
        <v>1.3025295966374084</v>
      </c>
      <c r="F201" s="443">
        <f t="shared" si="24"/>
        <v>1.0210584746793097</v>
      </c>
      <c r="G201" s="443">
        <f t="shared" si="24"/>
        <v>1.3266964760207411</v>
      </c>
      <c r="H201" s="443">
        <f t="shared" si="24"/>
        <v>1.3261694385298974</v>
      </c>
      <c r="I201" s="443">
        <f t="shared" si="24"/>
        <v>1.1957002674145631</v>
      </c>
      <c r="J201" s="443">
        <f t="shared" si="24"/>
        <v>1.3944022497136752</v>
      </c>
      <c r="K201" s="443">
        <f t="shared" si="24"/>
        <v>1.3480717557634958</v>
      </c>
      <c r="L201" s="443">
        <f t="shared" si="24"/>
        <v>1.4580418248266396</v>
      </c>
    </row>
    <row r="202" spans="2:12" ht="12.75" outlineLevel="1">
      <c r="B202" s="444" t="s">
        <v>233</v>
      </c>
      <c r="C202" s="444" t="s">
        <v>45</v>
      </c>
      <c r="E202" s="443">
        <f t="shared" si="24"/>
        <v>0.006813231736257213</v>
      </c>
      <c r="F202" s="443">
        <f t="shared" si="24"/>
        <v>0.007732287478153995</v>
      </c>
      <c r="G202" s="443">
        <f t="shared" si="24"/>
        <v>0.008486955398073858</v>
      </c>
      <c r="H202" s="443">
        <f t="shared" si="24"/>
        <v>0.0076778230651730894</v>
      </c>
      <c r="I202" s="443">
        <f t="shared" si="24"/>
        <v>0.007373484982389807</v>
      </c>
      <c r="J202" s="443">
        <f t="shared" si="24"/>
        <v>0.008627236940674538</v>
      </c>
      <c r="K202" s="443">
        <f t="shared" si="24"/>
        <v>0.008288144868768159</v>
      </c>
      <c r="L202" s="443">
        <f t="shared" si="24"/>
        <v>0.009720278832177598</v>
      </c>
    </row>
    <row r="203" spans="2:12" ht="12.75" outlineLevel="1">
      <c r="B203" s="444" t="s">
        <v>234</v>
      </c>
      <c r="C203" s="444" t="s">
        <v>45</v>
      </c>
      <c r="E203" s="443">
        <f t="shared" si="24"/>
        <v>0.01262451762894719</v>
      </c>
      <c r="F203" s="443">
        <f t="shared" si="24"/>
        <v>0</v>
      </c>
      <c r="G203" s="443">
        <f t="shared" si="24"/>
        <v>0.006048175111271026</v>
      </c>
      <c r="H203" s="443">
        <f t="shared" si="24"/>
        <v>0.005982719271563446</v>
      </c>
      <c r="I203" s="443">
        <f t="shared" si="24"/>
        <v>0</v>
      </c>
      <c r="J203" s="443">
        <f t="shared" si="24"/>
        <v>0.008426603523449547</v>
      </c>
      <c r="K203" s="443">
        <f t="shared" si="24"/>
        <v>0.005991430025615537</v>
      </c>
      <c r="L203" s="443">
        <f t="shared" si="24"/>
        <v>0</v>
      </c>
    </row>
    <row r="204" spans="2:12" ht="12.75" outlineLevel="1">
      <c r="B204" s="444" t="s">
        <v>275</v>
      </c>
      <c r="C204" s="444"/>
      <c r="E204" s="441"/>
      <c r="F204" s="441"/>
      <c r="G204" s="441"/>
      <c r="H204" s="441"/>
      <c r="I204" s="441"/>
      <c r="J204" s="441"/>
      <c r="K204" s="441"/>
      <c r="L204" s="441"/>
    </row>
    <row r="205" spans="2:12" ht="12.75" outlineLevel="1">
      <c r="B205" s="445" t="s">
        <v>245</v>
      </c>
      <c r="C205" s="444"/>
      <c r="E205" s="441"/>
      <c r="F205" s="441"/>
      <c r="G205" s="441"/>
      <c r="H205" s="441"/>
      <c r="I205" s="441"/>
      <c r="J205" s="441"/>
      <c r="K205" s="441"/>
      <c r="L205" s="441"/>
    </row>
    <row r="206" spans="2:12" ht="12.75" outlineLevel="1">
      <c r="B206" s="444" t="s">
        <v>230</v>
      </c>
      <c r="C206" s="444" t="s">
        <v>45</v>
      </c>
      <c r="E206" s="443">
        <f aca="true" t="shared" si="25" ref="E206:L206">E76</f>
        <v>18</v>
      </c>
      <c r="F206" s="443">
        <f t="shared" si="25"/>
        <v>18</v>
      </c>
      <c r="G206" s="443">
        <f>G76</f>
        <v>0</v>
      </c>
      <c r="H206" s="443">
        <f>H76</f>
        <v>18</v>
      </c>
      <c r="I206" s="443">
        <f t="shared" si="25"/>
        <v>18</v>
      </c>
      <c r="J206" s="443">
        <f t="shared" si="25"/>
        <v>18</v>
      </c>
      <c r="K206" s="443">
        <f>K76</f>
        <v>18</v>
      </c>
      <c r="L206" s="443">
        <f t="shared" si="25"/>
        <v>18</v>
      </c>
    </row>
    <row r="207" spans="2:12" ht="12.75" outlineLevel="1">
      <c r="B207" s="444" t="s">
        <v>231</v>
      </c>
      <c r="C207" s="444" t="s">
        <v>45</v>
      </c>
      <c r="E207" s="443">
        <f aca="true" t="shared" si="26" ref="E207:L210">E77*(E$132/E$131)</f>
        <v>6.602823109108093</v>
      </c>
      <c r="F207" s="443">
        <f t="shared" si="26"/>
        <v>5.412601234707797</v>
      </c>
      <c r="G207" s="443">
        <f t="shared" si="26"/>
        <v>0</v>
      </c>
      <c r="H207" s="443">
        <f t="shared" si="26"/>
        <v>4.497010652458523</v>
      </c>
      <c r="I207" s="443">
        <f t="shared" si="26"/>
        <v>3.8262408557266023</v>
      </c>
      <c r="J207" s="443">
        <f t="shared" si="26"/>
        <v>5.898622466414683</v>
      </c>
      <c r="K207" s="443">
        <f t="shared" si="26"/>
        <v>4.074172417418565</v>
      </c>
      <c r="L207" s="443">
        <f t="shared" si="26"/>
        <v>6.417367759611128</v>
      </c>
    </row>
    <row r="208" spans="2:12" ht="12.75" outlineLevel="1">
      <c r="B208" s="444" t="s">
        <v>246</v>
      </c>
      <c r="C208" s="444" t="s">
        <v>45</v>
      </c>
      <c r="E208" s="443">
        <f t="shared" si="26"/>
        <v>0.016331717250145966</v>
      </c>
      <c r="F208" s="443">
        <f t="shared" si="26"/>
        <v>0.019925510039858374</v>
      </c>
      <c r="G208" s="443">
        <f t="shared" si="26"/>
        <v>0</v>
      </c>
      <c r="H208" s="443">
        <f t="shared" si="26"/>
        <v>0.014258814263892881</v>
      </c>
      <c r="I208" s="443">
        <f t="shared" si="26"/>
        <v>0.01106022747358471</v>
      </c>
      <c r="J208" s="443">
        <f t="shared" si="26"/>
        <v>0.016853207046899094</v>
      </c>
      <c r="K208" s="443">
        <f t="shared" si="26"/>
        <v>0.014978575064038841</v>
      </c>
      <c r="L208" s="443">
        <f t="shared" si="26"/>
        <v>0.0174568272904414</v>
      </c>
    </row>
    <row r="209" spans="2:12" ht="12.75" outlineLevel="1">
      <c r="B209" s="444" t="s">
        <v>233</v>
      </c>
      <c r="C209" s="444" t="s">
        <v>45</v>
      </c>
      <c r="E209" s="443">
        <f t="shared" si="26"/>
        <v>0.03496790994049658</v>
      </c>
      <c r="F209" s="443">
        <f t="shared" si="26"/>
        <v>0.03013609478665147</v>
      </c>
      <c r="G209" s="443">
        <f t="shared" si="26"/>
        <v>0</v>
      </c>
      <c r="H209" s="443">
        <f t="shared" si="26"/>
        <v>0.02722137268561368</v>
      </c>
      <c r="I209" s="443">
        <f t="shared" si="26"/>
        <v>0.030789281885925005</v>
      </c>
      <c r="J209" s="443">
        <f t="shared" si="26"/>
        <v>0.03240229688183577</v>
      </c>
      <c r="K209" s="443">
        <f t="shared" si="26"/>
        <v>0.029957150128077682</v>
      </c>
      <c r="L209" s="443">
        <f t="shared" si="26"/>
        <v>0.034715281543491426</v>
      </c>
    </row>
    <row r="210" spans="2:12" ht="12.75" outlineLevel="1">
      <c r="B210" s="444" t="s">
        <v>234</v>
      </c>
      <c r="C210" s="444" t="s">
        <v>45</v>
      </c>
      <c r="E210" s="443">
        <f t="shared" si="26"/>
        <v>0.01883658185906406</v>
      </c>
      <c r="F210" s="443">
        <f t="shared" si="26"/>
        <v>0</v>
      </c>
      <c r="G210" s="443">
        <f t="shared" si="26"/>
        <v>0</v>
      </c>
      <c r="H210" s="443">
        <f t="shared" si="26"/>
        <v>0</v>
      </c>
      <c r="I210" s="443">
        <f t="shared" si="26"/>
        <v>0</v>
      </c>
      <c r="J210" s="443">
        <f t="shared" si="26"/>
        <v>0.012639905285174322</v>
      </c>
      <c r="K210" s="443">
        <f t="shared" si="26"/>
        <v>0.005991430025615537</v>
      </c>
      <c r="L210" s="443">
        <f t="shared" si="26"/>
        <v>0</v>
      </c>
    </row>
    <row r="211" spans="2:12" ht="12.75" outlineLevel="1">
      <c r="B211" s="444" t="s">
        <v>275</v>
      </c>
      <c r="C211" s="444"/>
      <c r="E211" s="441"/>
      <c r="F211" s="441"/>
      <c r="G211" s="441"/>
      <c r="H211" s="441"/>
      <c r="I211" s="441"/>
      <c r="J211" s="441"/>
      <c r="K211" s="441"/>
      <c r="L211" s="441"/>
    </row>
    <row r="212" spans="2:12" ht="12.75" outlineLevel="1">
      <c r="B212" s="445" t="s">
        <v>263</v>
      </c>
      <c r="C212" s="444"/>
      <c r="E212" s="441"/>
      <c r="F212" s="441"/>
      <c r="G212" s="441"/>
      <c r="H212" s="441"/>
      <c r="I212" s="441"/>
      <c r="J212" s="441"/>
      <c r="K212" s="441"/>
      <c r="L212" s="441"/>
    </row>
    <row r="213" spans="2:12" ht="12.75" outlineLevel="1">
      <c r="B213" s="444" t="s">
        <v>264</v>
      </c>
      <c r="C213" s="444" t="s">
        <v>45</v>
      </c>
      <c r="E213" s="443">
        <f aca="true" t="shared" si="27" ref="E213:L214">E83</f>
        <v>0.54</v>
      </c>
      <c r="F213" s="443">
        <f t="shared" si="27"/>
        <v>0.54</v>
      </c>
      <c r="G213" s="443">
        <f>G83</f>
        <v>0.54</v>
      </c>
      <c r="H213" s="443">
        <f>H83</f>
        <v>0.54</v>
      </c>
      <c r="I213" s="443">
        <f t="shared" si="27"/>
        <v>0.54</v>
      </c>
      <c r="J213" s="443">
        <f t="shared" si="27"/>
        <v>0.54</v>
      </c>
      <c r="K213" s="443">
        <f>K83</f>
        <v>0.54</v>
      </c>
      <c r="L213" s="443">
        <f t="shared" si="27"/>
        <v>0.54</v>
      </c>
    </row>
    <row r="214" spans="2:12" ht="12.75" outlineLevel="1">
      <c r="B214" s="444" t="s">
        <v>265</v>
      </c>
      <c r="C214" s="444" t="s">
        <v>45</v>
      </c>
      <c r="E214" s="443">
        <f t="shared" si="27"/>
        <v>18</v>
      </c>
      <c r="F214" s="443">
        <f t="shared" si="27"/>
        <v>18</v>
      </c>
      <c r="G214" s="443">
        <f>G84</f>
        <v>18</v>
      </c>
      <c r="H214" s="443">
        <f>H84</f>
        <v>18</v>
      </c>
      <c r="I214" s="443">
        <f t="shared" si="27"/>
        <v>18</v>
      </c>
      <c r="J214" s="443">
        <f t="shared" si="27"/>
        <v>18</v>
      </c>
      <c r="K214" s="443">
        <f>K84</f>
        <v>18</v>
      </c>
      <c r="L214" s="443">
        <f t="shared" si="27"/>
        <v>18</v>
      </c>
    </row>
    <row r="215" spans="2:12" ht="12.75" outlineLevel="1">
      <c r="B215" s="444" t="s">
        <v>275</v>
      </c>
      <c r="C215" s="444"/>
      <c r="E215" s="441"/>
      <c r="F215" s="441"/>
      <c r="G215" s="441"/>
      <c r="H215" s="441"/>
      <c r="I215" s="441"/>
      <c r="J215" s="441"/>
      <c r="K215" s="441"/>
      <c r="L215" s="441"/>
    </row>
    <row r="216" spans="2:12" ht="12.75" outlineLevel="1">
      <c r="B216" s="445" t="s">
        <v>266</v>
      </c>
      <c r="C216" s="444"/>
      <c r="E216" s="441"/>
      <c r="F216" s="441"/>
      <c r="G216" s="441"/>
      <c r="H216" s="441"/>
      <c r="I216" s="441"/>
      <c r="J216" s="441"/>
      <c r="K216" s="441"/>
      <c r="L216" s="441"/>
    </row>
    <row r="217" spans="2:12" ht="12.75" outlineLevel="1">
      <c r="B217" s="444" t="s">
        <v>267</v>
      </c>
      <c r="C217" s="444" t="s">
        <v>45</v>
      </c>
      <c r="E217" s="443">
        <f aca="true" t="shared" si="28" ref="E217:L222">E87*(E$132/E$131)</f>
        <v>1.728857553075268</v>
      </c>
      <c r="F217" s="443">
        <f t="shared" si="28"/>
        <v>1.5241528202130472</v>
      </c>
      <c r="G217" s="443">
        <f t="shared" si="28"/>
        <v>1.3266964760207411</v>
      </c>
      <c r="H217" s="443">
        <f t="shared" si="28"/>
        <v>1.3216823990762248</v>
      </c>
      <c r="I217" s="443">
        <f t="shared" si="28"/>
        <v>1.3436681755071154</v>
      </c>
      <c r="J217" s="443">
        <f t="shared" si="28"/>
        <v>1.3949038332567378</v>
      </c>
      <c r="K217" s="443">
        <f t="shared" si="28"/>
        <v>1.3121231756098026</v>
      </c>
      <c r="L217" s="443">
        <f t="shared" si="28"/>
        <v>1.7903166624572004</v>
      </c>
    </row>
    <row r="218" spans="2:12" ht="12.75" outlineLevel="1">
      <c r="B218" s="444" t="s">
        <v>268</v>
      </c>
      <c r="C218" s="444" t="s">
        <v>45</v>
      </c>
      <c r="E218" s="443">
        <f t="shared" si="28"/>
        <v>138.30860424602142</v>
      </c>
      <c r="F218" s="443">
        <f t="shared" si="28"/>
        <v>121.93222561704377</v>
      </c>
      <c r="G218" s="443">
        <f t="shared" si="28"/>
        <v>106.13571808165929</v>
      </c>
      <c r="H218" s="443">
        <f t="shared" si="28"/>
        <v>105.73459192609798</v>
      </c>
      <c r="I218" s="443">
        <f t="shared" si="28"/>
        <v>107.49345404056923</v>
      </c>
      <c r="J218" s="443">
        <f t="shared" si="28"/>
        <v>111.59230666053901</v>
      </c>
      <c r="K218" s="443">
        <f t="shared" si="28"/>
        <v>104.96985404878421</v>
      </c>
      <c r="L218" s="443">
        <f t="shared" si="28"/>
        <v>143.22533299657604</v>
      </c>
    </row>
    <row r="219" spans="2:12" ht="12.75" outlineLevel="1">
      <c r="B219" s="444" t="s">
        <v>269</v>
      </c>
      <c r="C219" s="444" t="s">
        <v>45</v>
      </c>
      <c r="E219" s="443">
        <f t="shared" si="28"/>
        <v>691.5430212301072</v>
      </c>
      <c r="F219" s="443">
        <f t="shared" si="28"/>
        <v>609.6611280852188</v>
      </c>
      <c r="G219" s="443">
        <f t="shared" si="28"/>
        <v>530.6785904082965</v>
      </c>
      <c r="H219" s="443">
        <f t="shared" si="28"/>
        <v>528.6729596304899</v>
      </c>
      <c r="I219" s="443">
        <f t="shared" si="28"/>
        <v>537.4672702028462</v>
      </c>
      <c r="J219" s="443">
        <f t="shared" si="28"/>
        <v>557.9615333026951</v>
      </c>
      <c r="K219" s="443">
        <f t="shared" si="28"/>
        <v>524.8492702439211</v>
      </c>
      <c r="L219" s="443">
        <f t="shared" si="28"/>
        <v>716.1266649828801</v>
      </c>
    </row>
    <row r="220" spans="2:12" ht="12.75" outlineLevel="1">
      <c r="B220" s="444" t="s">
        <v>270</v>
      </c>
      <c r="C220" s="444" t="s">
        <v>45</v>
      </c>
      <c r="E220" s="443">
        <f t="shared" si="28"/>
        <v>1037.3145318451607</v>
      </c>
      <c r="F220" s="443">
        <f t="shared" si="28"/>
        <v>914.4916921278283</v>
      </c>
      <c r="G220" s="443">
        <f t="shared" si="28"/>
        <v>796.0178856124447</v>
      </c>
      <c r="H220" s="443">
        <f t="shared" si="28"/>
        <v>793.0094394457348</v>
      </c>
      <c r="I220" s="443">
        <f t="shared" si="28"/>
        <v>806.2009053042693</v>
      </c>
      <c r="J220" s="443">
        <f t="shared" si="28"/>
        <v>836.9422999540426</v>
      </c>
      <c r="K220" s="443">
        <f t="shared" si="28"/>
        <v>787.2739053658815</v>
      </c>
      <c r="L220" s="443">
        <f t="shared" si="28"/>
        <v>1074.1899974743203</v>
      </c>
    </row>
    <row r="221" spans="2:12" ht="12.75" outlineLevel="1">
      <c r="B221" s="444" t="s">
        <v>271</v>
      </c>
      <c r="C221" s="444" t="s">
        <v>45</v>
      </c>
      <c r="E221" s="443">
        <f t="shared" si="28"/>
        <v>1383.0860424602145</v>
      </c>
      <c r="F221" s="443">
        <f t="shared" si="28"/>
        <v>1219.3222561704376</v>
      </c>
      <c r="G221" s="443">
        <f t="shared" si="28"/>
        <v>1061.357180816593</v>
      </c>
      <c r="H221" s="443">
        <f t="shared" si="28"/>
        <v>1057.3459192609798</v>
      </c>
      <c r="I221" s="443">
        <f t="shared" si="28"/>
        <v>1074.9345404056924</v>
      </c>
      <c r="J221" s="443">
        <f t="shared" si="28"/>
        <v>1115.9230666053902</v>
      </c>
      <c r="K221" s="443">
        <f t="shared" si="28"/>
        <v>1049.6985404878421</v>
      </c>
      <c r="L221" s="443">
        <f t="shared" si="28"/>
        <v>1432.2533299657603</v>
      </c>
    </row>
    <row r="222" spans="2:12" ht="12.75" outlineLevel="1">
      <c r="B222" s="444" t="s">
        <v>272</v>
      </c>
      <c r="C222" s="444" t="s">
        <v>45</v>
      </c>
      <c r="E222" s="443">
        <f t="shared" si="28"/>
        <v>1728.8575530752678</v>
      </c>
      <c r="F222" s="443">
        <f t="shared" si="28"/>
        <v>1524.152820213047</v>
      </c>
      <c r="G222" s="443">
        <f t="shared" si="28"/>
        <v>1326.696476020741</v>
      </c>
      <c r="H222" s="443">
        <f t="shared" si="28"/>
        <v>1321.6823990762248</v>
      </c>
      <c r="I222" s="443">
        <f t="shared" si="28"/>
        <v>1343.6681755071154</v>
      </c>
      <c r="J222" s="443">
        <f t="shared" si="28"/>
        <v>1394.9038332567377</v>
      </c>
      <c r="K222" s="443">
        <f t="shared" si="28"/>
        <v>1312.1231756098025</v>
      </c>
      <c r="L222" s="443">
        <f t="shared" si="28"/>
        <v>1790.3166624572004</v>
      </c>
    </row>
    <row r="223" spans="2:12" ht="12.75" outlineLevel="1">
      <c r="B223" s="444" t="s">
        <v>275</v>
      </c>
      <c r="C223" s="444"/>
      <c r="E223" s="441"/>
      <c r="F223" s="441"/>
      <c r="G223" s="441"/>
      <c r="H223" s="441"/>
      <c r="I223" s="441"/>
      <c r="J223" s="441"/>
      <c r="K223" s="441"/>
      <c r="L223" s="441"/>
    </row>
    <row r="224" spans="2:12" ht="12.75" outlineLevel="1">
      <c r="B224" s="444" t="s">
        <v>275</v>
      </c>
      <c r="C224" s="444"/>
      <c r="E224" s="441"/>
      <c r="F224" s="441"/>
      <c r="G224" s="441"/>
      <c r="H224" s="441"/>
      <c r="I224" s="441"/>
      <c r="J224" s="441"/>
      <c r="K224" s="441"/>
      <c r="L224" s="441"/>
    </row>
    <row r="225" spans="2:12" ht="12.75" outlineLevel="1">
      <c r="B225" s="445" t="s">
        <v>252</v>
      </c>
      <c r="C225" s="445"/>
      <c r="E225" s="441"/>
      <c r="F225" s="441"/>
      <c r="G225" s="441"/>
      <c r="H225" s="441"/>
      <c r="I225" s="441"/>
      <c r="J225" s="441"/>
      <c r="K225" s="441"/>
      <c r="L225" s="441"/>
    </row>
    <row r="226" spans="2:12" ht="12.75" outlineLevel="1">
      <c r="B226" s="452"/>
      <c r="C226" s="444"/>
      <c r="E226" s="441"/>
      <c r="F226" s="441"/>
      <c r="G226" s="441"/>
      <c r="H226" s="441"/>
      <c r="I226" s="441"/>
      <c r="J226" s="441"/>
      <c r="K226" s="441"/>
      <c r="L226" s="441"/>
    </row>
    <row r="227" spans="2:12" ht="12.75" outlineLevel="1">
      <c r="B227" s="446" t="s">
        <v>404</v>
      </c>
      <c r="C227" s="444" t="s">
        <v>45</v>
      </c>
      <c r="E227" s="443">
        <f aca="true" t="shared" si="29" ref="E227:L232">E97*(E$132/E$131)</f>
        <v>5.170040552806944</v>
      </c>
      <c r="F227" s="443">
        <f t="shared" si="29"/>
        <v>1.9033323023148296</v>
      </c>
      <c r="G227" s="443">
        <f t="shared" si="29"/>
        <v>6.0774404747126605</v>
      </c>
      <c r="H227" s="443">
        <f t="shared" si="29"/>
        <v>3.250610804216139</v>
      </c>
      <c r="I227" s="443">
        <f t="shared" si="29"/>
        <v>7.772051738194661</v>
      </c>
      <c r="J227" s="443">
        <f t="shared" si="29"/>
        <v>10.633571112924429</v>
      </c>
      <c r="K227" s="443">
        <f t="shared" si="29"/>
        <v>6.231087226640159</v>
      </c>
      <c r="L227" s="443">
        <f t="shared" si="29"/>
        <v>2.5193375748705202</v>
      </c>
    </row>
    <row r="228" spans="2:12" ht="12.75" outlineLevel="1">
      <c r="B228" s="446" t="s">
        <v>405</v>
      </c>
      <c r="C228" s="444" t="s">
        <v>45</v>
      </c>
      <c r="E228" s="443">
        <f t="shared" si="29"/>
        <v>14.778701192616749</v>
      </c>
      <c r="F228" s="443">
        <f t="shared" si="29"/>
        <v>19.033323023148295</v>
      </c>
      <c r="G228" s="443">
        <f t="shared" si="29"/>
        <v>13.140148185293665</v>
      </c>
      <c r="H228" s="443">
        <f t="shared" si="29"/>
        <v>26.323964794879164</v>
      </c>
      <c r="I228" s="443">
        <f t="shared" si="29"/>
        <v>15.902813556613692</v>
      </c>
      <c r="J228" s="443">
        <f t="shared" si="29"/>
        <v>21.527965668241347</v>
      </c>
      <c r="K228" s="443">
        <f t="shared" si="29"/>
        <v>16.536346870698882</v>
      </c>
      <c r="L228" s="443">
        <f t="shared" si="29"/>
        <v>13.39018002391812</v>
      </c>
    </row>
    <row r="229" spans="2:12" s="68" customFormat="1" ht="12.75" outlineLevel="1">
      <c r="B229" s="446" t="s">
        <v>406</v>
      </c>
      <c r="C229" s="444" t="s">
        <v>45</v>
      </c>
      <c r="E229" s="443">
        <f t="shared" si="29"/>
        <v>14.778701192616749</v>
      </c>
      <c r="F229" s="443">
        <f t="shared" si="29"/>
        <v>31.286024719300013</v>
      </c>
      <c r="G229" s="443">
        <f t="shared" si="29"/>
        <v>13.140148185293665</v>
      </c>
      <c r="H229" s="443">
        <f t="shared" si="29"/>
        <v>30.013308345676624</v>
      </c>
      <c r="I229" s="443">
        <f t="shared" si="29"/>
        <v>27.14239607031059</v>
      </c>
      <c r="J229" s="443">
        <f t="shared" si="29"/>
        <v>34.910214597148126</v>
      </c>
      <c r="K229" s="443">
        <f t="shared" si="29"/>
        <v>32.83303654037314</v>
      </c>
      <c r="L229" s="443">
        <f t="shared" si="29"/>
        <v>41.58394796316794</v>
      </c>
    </row>
    <row r="230" spans="2:12" ht="12.75" outlineLevel="1">
      <c r="B230" s="446" t="s">
        <v>394</v>
      </c>
      <c r="C230" s="444" t="s">
        <v>45</v>
      </c>
      <c r="E230" s="443">
        <f t="shared" si="29"/>
        <v>186.0563334212181</v>
      </c>
      <c r="F230" s="443">
        <f t="shared" si="29"/>
        <v>81.30797678951163</v>
      </c>
      <c r="G230" s="443">
        <f t="shared" si="29"/>
        <v>197.41438665611574</v>
      </c>
      <c r="H230" s="443">
        <f t="shared" si="29"/>
        <v>142.58814263892882</v>
      </c>
      <c r="I230" s="443">
        <f t="shared" si="29"/>
        <v>110.84141478933002</v>
      </c>
      <c r="J230" s="443">
        <f t="shared" si="29"/>
        <v>94.42310198151056</v>
      </c>
      <c r="K230" s="443">
        <f t="shared" si="29"/>
        <v>46.733154199801184</v>
      </c>
      <c r="L230" s="443">
        <f t="shared" si="29"/>
        <v>149.49557408678857</v>
      </c>
    </row>
    <row r="231" spans="2:12" ht="12.75" outlineLevel="1">
      <c r="B231" s="446" t="s">
        <v>397</v>
      </c>
      <c r="C231" s="444" t="s">
        <v>45</v>
      </c>
      <c r="E231" s="443">
        <f t="shared" si="29"/>
        <v>405.3371910151258</v>
      </c>
      <c r="F231" s="443">
        <f t="shared" si="29"/>
        <v>907.4136751285951</v>
      </c>
      <c r="G231" s="443">
        <f t="shared" si="29"/>
        <v>567.582213708197</v>
      </c>
      <c r="H231" s="443">
        <f t="shared" si="29"/>
        <v>567.3612109199335</v>
      </c>
      <c r="I231" s="443">
        <f t="shared" si="29"/>
        <v>948.5888788155535</v>
      </c>
      <c r="J231" s="443">
        <f t="shared" si="29"/>
        <v>900.3173806199861</v>
      </c>
      <c r="K231" s="443">
        <f t="shared" si="29"/>
        <v>718.1328028702782</v>
      </c>
      <c r="L231" s="443">
        <f t="shared" si="29"/>
        <v>802.240400514478</v>
      </c>
    </row>
    <row r="232" spans="2:12" ht="12.75" outlineLevel="1">
      <c r="B232" s="446" t="s">
        <v>400</v>
      </c>
      <c r="C232" s="444" t="s">
        <v>45</v>
      </c>
      <c r="E232" s="443">
        <f t="shared" si="29"/>
        <v>0</v>
      </c>
      <c r="F232" s="443">
        <f t="shared" si="29"/>
        <v>6044.269642538531</v>
      </c>
      <c r="G232" s="443">
        <f t="shared" si="29"/>
        <v>3392.7189511069087</v>
      </c>
      <c r="H232" s="443">
        <f t="shared" si="29"/>
        <v>1636.2737207726025</v>
      </c>
      <c r="I232" s="443">
        <f t="shared" si="29"/>
        <v>7849.772255576608</v>
      </c>
      <c r="J232" s="443">
        <f t="shared" si="29"/>
        <v>0</v>
      </c>
      <c r="K232" s="443">
        <f t="shared" si="29"/>
        <v>5757.764254616531</v>
      </c>
      <c r="L232" s="443">
        <f t="shared" si="29"/>
        <v>5032.00981568469</v>
      </c>
    </row>
    <row r="233" spans="2:12" ht="12.75" outlineLevel="1">
      <c r="B233" s="447"/>
      <c r="C233" s="447"/>
      <c r="E233" s="441"/>
      <c r="F233" s="441"/>
      <c r="G233" s="441"/>
      <c r="H233" s="441"/>
      <c r="I233" s="441"/>
      <c r="J233" s="441"/>
      <c r="K233" s="441"/>
      <c r="L233" s="441"/>
    </row>
    <row r="234" spans="2:12" ht="12.75" outlineLevel="1">
      <c r="B234" s="447" t="s">
        <v>417</v>
      </c>
      <c r="C234" s="444" t="s">
        <v>45</v>
      </c>
      <c r="E234" s="443">
        <f aca="true" t="shared" si="30" ref="E234:L234">E104*(E$132/E$131)</f>
        <v>0</v>
      </c>
      <c r="F234" s="443">
        <f t="shared" si="30"/>
        <v>1.4572387939597915</v>
      </c>
      <c r="G234" s="443">
        <f t="shared" si="30"/>
        <v>2.789964648102441</v>
      </c>
      <c r="H234" s="443">
        <f t="shared" si="30"/>
        <v>4.387327465813194</v>
      </c>
      <c r="I234" s="443">
        <f t="shared" si="30"/>
        <v>1.4348403208974758</v>
      </c>
      <c r="J234" s="443">
        <f t="shared" si="30"/>
        <v>11.486263136130633</v>
      </c>
      <c r="K234" s="443">
        <f t="shared" si="30"/>
        <v>5.272458422541673</v>
      </c>
      <c r="L234" s="443">
        <f t="shared" si="30"/>
        <v>3.729413102957935</v>
      </c>
    </row>
    <row r="235" spans="2:12" ht="12.75" outlineLevel="1">
      <c r="B235" s="444"/>
      <c r="C235" s="444"/>
      <c r="E235" s="441"/>
      <c r="F235" s="441"/>
      <c r="G235" s="441"/>
      <c r="H235" s="441"/>
      <c r="I235" s="441"/>
      <c r="J235" s="441"/>
      <c r="K235" s="441"/>
      <c r="L235" s="441"/>
    </row>
    <row r="236" spans="2:12" ht="12.75" outlineLevel="1">
      <c r="B236" s="445" t="s">
        <v>254</v>
      </c>
      <c r="C236" s="448"/>
      <c r="E236" s="441"/>
      <c r="F236" s="441"/>
      <c r="G236" s="441"/>
      <c r="H236" s="441"/>
      <c r="I236" s="441"/>
      <c r="J236" s="441"/>
      <c r="K236" s="441"/>
      <c r="L236" s="441"/>
    </row>
    <row r="237" spans="2:12" ht="12.75" outlineLevel="1">
      <c r="B237" s="449" t="s">
        <v>562</v>
      </c>
      <c r="C237" s="449"/>
      <c r="E237" s="441"/>
      <c r="F237" s="441"/>
      <c r="G237" s="441"/>
      <c r="H237" s="441"/>
      <c r="I237" s="441"/>
      <c r="J237" s="441"/>
      <c r="K237" s="441"/>
      <c r="L237" s="441"/>
    </row>
    <row r="238" spans="2:12" ht="12.75" outlineLevel="1">
      <c r="B238" s="446" t="s">
        <v>404</v>
      </c>
      <c r="C238" s="444" t="s">
        <v>45</v>
      </c>
      <c r="E238" s="443">
        <f>E108</f>
        <v>350</v>
      </c>
      <c r="F238" s="443">
        <f aca="true" t="shared" si="31" ref="F238:L238">F108</f>
        <v>284.07</v>
      </c>
      <c r="G238" s="443">
        <f t="shared" si="31"/>
        <v>345.18</v>
      </c>
      <c r="H238" s="443">
        <f t="shared" si="31"/>
        <v>296</v>
      </c>
      <c r="I238" s="443">
        <f t="shared" si="31"/>
        <v>329.4</v>
      </c>
      <c r="J238" s="443">
        <f t="shared" si="31"/>
        <v>363</v>
      </c>
      <c r="K238" s="443">
        <f t="shared" si="31"/>
        <v>327.86</v>
      </c>
      <c r="L238" s="443">
        <f t="shared" si="31"/>
        <v>356.53</v>
      </c>
    </row>
    <row r="239" spans="2:12" ht="12.75" outlineLevel="1">
      <c r="B239" s="446" t="s">
        <v>405</v>
      </c>
      <c r="C239" s="444" t="s">
        <v>45</v>
      </c>
      <c r="E239" s="443">
        <f>E109</f>
        <v>585</v>
      </c>
      <c r="F239" s="443">
        <f aca="true" t="shared" si="32" ref="F239:L241">F109</f>
        <v>539.31</v>
      </c>
      <c r="G239" s="443">
        <f t="shared" si="32"/>
        <v>542.6</v>
      </c>
      <c r="H239" s="443">
        <f t="shared" si="32"/>
        <v>568</v>
      </c>
      <c r="I239" s="443">
        <f t="shared" si="32"/>
        <v>546.7</v>
      </c>
      <c r="J239" s="443">
        <f t="shared" si="32"/>
        <v>615</v>
      </c>
      <c r="K239" s="443">
        <f t="shared" si="32"/>
        <v>479.57</v>
      </c>
      <c r="L239" s="443">
        <f t="shared" si="32"/>
        <v>678.65</v>
      </c>
    </row>
    <row r="240" spans="2:12" ht="12.75" outlineLevel="1">
      <c r="B240" s="446" t="s">
        <v>406</v>
      </c>
      <c r="C240" s="444" t="s">
        <v>45</v>
      </c>
      <c r="E240" s="443">
        <f>E110</f>
        <v>990.8</v>
      </c>
      <c r="F240" s="443">
        <f t="shared" si="32"/>
        <v>885.7150000000001</v>
      </c>
      <c r="G240" s="443">
        <f t="shared" si="32"/>
        <v>1173.46</v>
      </c>
      <c r="H240" s="443">
        <f t="shared" si="32"/>
        <v>759</v>
      </c>
      <c r="I240" s="443">
        <f t="shared" si="32"/>
        <v>935.565</v>
      </c>
      <c r="J240" s="443">
        <f t="shared" si="32"/>
        <v>943.75</v>
      </c>
      <c r="K240" s="443">
        <f t="shared" si="32"/>
        <v>873.1333333333333</v>
      </c>
      <c r="L240" s="443">
        <f t="shared" si="32"/>
        <v>1049.8675</v>
      </c>
    </row>
    <row r="241" spans="2:12" ht="12.75" outlineLevel="1">
      <c r="B241" s="446" t="s">
        <v>394</v>
      </c>
      <c r="C241" s="444" t="s">
        <v>45</v>
      </c>
      <c r="E241" s="443">
        <f>E111</f>
        <v>11275.864285714284</v>
      </c>
      <c r="F241" s="443">
        <f t="shared" si="32"/>
        <v>3655.66</v>
      </c>
      <c r="G241" s="443">
        <f t="shared" si="32"/>
        <v>3417.1</v>
      </c>
      <c r="H241" s="443">
        <f t="shared" si="32"/>
        <v>2435</v>
      </c>
      <c r="I241" s="443">
        <f t="shared" si="32"/>
        <v>3912.295</v>
      </c>
      <c r="J241" s="443">
        <f t="shared" si="32"/>
        <v>3881</v>
      </c>
      <c r="K241" s="443">
        <f t="shared" si="32"/>
        <v>2714.25</v>
      </c>
      <c r="L241" s="443">
        <f t="shared" si="32"/>
        <v>5307.9783333333335</v>
      </c>
    </row>
    <row r="242" spans="2:12" ht="12.75" outlineLevel="1">
      <c r="B242" s="446" t="s">
        <v>397</v>
      </c>
      <c r="C242" s="444" t="s">
        <v>45</v>
      </c>
      <c r="E242" s="443">
        <f aca="true" t="shared" si="33" ref="E242:L242">E112</f>
        <v>59159.47333333333</v>
      </c>
      <c r="F242" s="443">
        <f t="shared" si="33"/>
        <v>30159.055</v>
      </c>
      <c r="G242" s="443">
        <f t="shared" si="33"/>
        <v>21934.63</v>
      </c>
      <c r="H242" s="443">
        <f t="shared" si="33"/>
        <v>16347</v>
      </c>
      <c r="I242" s="443">
        <f t="shared" si="33"/>
        <v>32843.35333333333</v>
      </c>
      <c r="J242" s="443">
        <f t="shared" si="33"/>
        <v>29549.930883333334</v>
      </c>
      <c r="K242" s="443">
        <f t="shared" si="33"/>
        <v>34518.68</v>
      </c>
      <c r="L242" s="443">
        <f t="shared" si="33"/>
        <v>26090.2975</v>
      </c>
    </row>
    <row r="243" spans="2:12" ht="12.75" outlineLevel="1">
      <c r="B243" s="446" t="s">
        <v>400</v>
      </c>
      <c r="C243" s="444" t="s">
        <v>45</v>
      </c>
      <c r="E243" s="443">
        <f aca="true" t="shared" si="34" ref="E243:L243">E113</f>
        <v>0</v>
      </c>
      <c r="F243" s="443">
        <f t="shared" si="34"/>
        <v>189706.84</v>
      </c>
      <c r="G243" s="443">
        <f t="shared" si="34"/>
        <v>123459.16</v>
      </c>
      <c r="H243" s="443">
        <f t="shared" si="34"/>
        <v>190488.5</v>
      </c>
      <c r="I243" s="443">
        <f t="shared" si="34"/>
        <v>271566.745</v>
      </c>
      <c r="J243" s="443">
        <f t="shared" si="34"/>
        <v>322041.0632</v>
      </c>
      <c r="K243" s="443">
        <f t="shared" si="34"/>
        <v>197389.66</v>
      </c>
      <c r="L243" s="443">
        <f t="shared" si="34"/>
        <v>178772.27</v>
      </c>
    </row>
    <row r="244" spans="2:12" ht="12.75" outlineLevel="1">
      <c r="B244" s="45"/>
      <c r="C244" s="45"/>
      <c r="E244" s="441"/>
      <c r="F244" s="441"/>
      <c r="G244" s="441"/>
      <c r="H244" s="441"/>
      <c r="I244" s="441"/>
      <c r="J244" s="441"/>
      <c r="K244" s="441"/>
      <c r="L244" s="441"/>
    </row>
    <row r="245" spans="2:12" ht="12.75" outlineLevel="1">
      <c r="B245" s="449" t="s">
        <v>563</v>
      </c>
      <c r="C245" s="449"/>
      <c r="E245" s="441"/>
      <c r="F245" s="441"/>
      <c r="G245" s="441"/>
      <c r="H245" s="441"/>
      <c r="I245" s="441"/>
      <c r="J245" s="441"/>
      <c r="K245" s="441"/>
      <c r="L245" s="441"/>
    </row>
    <row r="246" spans="2:12" ht="12.75" outlineLevel="1">
      <c r="B246" s="446" t="s">
        <v>404</v>
      </c>
      <c r="C246" s="444" t="s">
        <v>45</v>
      </c>
      <c r="E246" s="443">
        <f>E116</f>
        <v>17.36</v>
      </c>
      <c r="F246" s="443">
        <f aca="true" t="shared" si="35" ref="F246:L246">F116</f>
        <v>14.07</v>
      </c>
      <c r="G246" s="443">
        <f t="shared" si="35"/>
        <v>23.04</v>
      </c>
      <c r="H246" s="443">
        <f t="shared" si="35"/>
        <v>14</v>
      </c>
      <c r="I246" s="443">
        <f t="shared" si="35"/>
        <v>16.35</v>
      </c>
      <c r="J246" s="443">
        <f t="shared" si="35"/>
        <v>18.09</v>
      </c>
      <c r="K246" s="443">
        <f t="shared" si="35"/>
        <v>15.23</v>
      </c>
      <c r="L246" s="443">
        <f t="shared" si="35"/>
        <v>17.67</v>
      </c>
    </row>
    <row r="247" spans="2:12" ht="12.75" outlineLevel="1">
      <c r="B247" s="446" t="s">
        <v>405</v>
      </c>
      <c r="C247" s="444" t="s">
        <v>45</v>
      </c>
      <c r="E247" s="443">
        <f aca="true" t="shared" si="36" ref="E247:L247">E117</f>
        <v>17.66</v>
      </c>
      <c r="F247" s="443">
        <f t="shared" si="36"/>
        <v>22.89</v>
      </c>
      <c r="G247" s="443">
        <f t="shared" si="36"/>
        <v>23.92</v>
      </c>
      <c r="H247" s="443">
        <f t="shared" si="36"/>
        <v>16</v>
      </c>
      <c r="I247" s="443">
        <f t="shared" si="36"/>
        <v>21.6</v>
      </c>
      <c r="J247" s="443">
        <f t="shared" si="36"/>
        <v>21.2</v>
      </c>
      <c r="K247" s="443">
        <f t="shared" si="36"/>
        <v>21.06</v>
      </c>
      <c r="L247" s="443">
        <f t="shared" si="36"/>
        <v>25.53</v>
      </c>
    </row>
    <row r="248" spans="2:12" ht="12.75" outlineLevel="1">
      <c r="B248" s="446" t="s">
        <v>406</v>
      </c>
      <c r="C248" s="444" t="s">
        <v>45</v>
      </c>
      <c r="E248" s="443">
        <f aca="true" t="shared" si="37" ref="E248:L248">E118</f>
        <v>24.73</v>
      </c>
      <c r="F248" s="443">
        <f t="shared" si="37"/>
        <v>29.237499999999997</v>
      </c>
      <c r="G248" s="443">
        <f t="shared" si="37"/>
        <v>37.75</v>
      </c>
      <c r="H248" s="443">
        <f t="shared" si="37"/>
        <v>18.5</v>
      </c>
      <c r="I248" s="443">
        <f t="shared" si="37"/>
        <v>28.73</v>
      </c>
      <c r="J248" s="443">
        <f t="shared" si="37"/>
        <v>26.075</v>
      </c>
      <c r="K248" s="443">
        <f t="shared" si="37"/>
        <v>29.159999999999997</v>
      </c>
      <c r="L248" s="443">
        <f t="shared" si="37"/>
        <v>29.3625</v>
      </c>
    </row>
    <row r="249" spans="2:12" ht="12.75" outlineLevel="1">
      <c r="B249" s="446" t="s">
        <v>394</v>
      </c>
      <c r="C249" s="444" t="s">
        <v>45</v>
      </c>
      <c r="E249" s="443">
        <f aca="true" t="shared" si="38" ref="E249:L249">E119</f>
        <v>70.16285714285713</v>
      </c>
      <c r="F249" s="443">
        <f t="shared" si="38"/>
        <v>44.09</v>
      </c>
      <c r="G249" s="443">
        <f t="shared" si="38"/>
        <v>50.25</v>
      </c>
      <c r="H249" s="443">
        <f t="shared" si="38"/>
        <v>26</v>
      </c>
      <c r="I249" s="443">
        <f t="shared" si="38"/>
        <v>43.225</v>
      </c>
      <c r="J249" s="443">
        <f t="shared" si="38"/>
        <v>38.338</v>
      </c>
      <c r="K249" s="443">
        <f t="shared" si="38"/>
        <v>46.545</v>
      </c>
      <c r="L249" s="443">
        <f t="shared" si="38"/>
        <v>92.84500000000001</v>
      </c>
    </row>
    <row r="250" spans="2:12" ht="12.75" outlineLevel="1">
      <c r="B250" s="446" t="s">
        <v>397</v>
      </c>
      <c r="C250" s="444" t="s">
        <v>45</v>
      </c>
      <c r="E250" s="443">
        <f aca="true" t="shared" si="39" ref="E250:L250">E120</f>
        <v>150.75</v>
      </c>
      <c r="F250" s="443">
        <f t="shared" si="39"/>
        <v>84.79</v>
      </c>
      <c r="G250" s="443">
        <f t="shared" si="39"/>
        <v>90.3</v>
      </c>
      <c r="H250" s="443">
        <f t="shared" si="39"/>
        <v>60</v>
      </c>
      <c r="I250" s="443">
        <f t="shared" si="39"/>
        <v>103.93</v>
      </c>
      <c r="J250" s="443">
        <f t="shared" si="39"/>
        <v>101.24</v>
      </c>
      <c r="K250" s="443">
        <f t="shared" si="39"/>
        <v>94.81</v>
      </c>
      <c r="L250" s="443">
        <f t="shared" si="39"/>
        <v>324.27750000000003</v>
      </c>
    </row>
    <row r="251" spans="2:12" ht="12.75" outlineLevel="1">
      <c r="B251" s="446" t="s">
        <v>400</v>
      </c>
      <c r="C251" s="444" t="s">
        <v>45</v>
      </c>
      <c r="E251" s="443">
        <f aca="true" t="shared" si="40" ref="E251:L251">E121</f>
        <v>0</v>
      </c>
      <c r="F251" s="443">
        <f t="shared" si="40"/>
        <v>109.38499999999999</v>
      </c>
      <c r="G251" s="443">
        <f t="shared" si="40"/>
        <v>156.41</v>
      </c>
      <c r="H251" s="443">
        <f t="shared" si="40"/>
        <v>118.5</v>
      </c>
      <c r="I251" s="443">
        <f t="shared" si="40"/>
        <v>138.88</v>
      </c>
      <c r="J251" s="443">
        <f t="shared" si="40"/>
        <v>200.93</v>
      </c>
      <c r="K251" s="443">
        <f t="shared" si="40"/>
        <v>149.685</v>
      </c>
      <c r="L251" s="443">
        <f t="shared" si="40"/>
        <v>132.79</v>
      </c>
    </row>
    <row r="252" spans="2:12" ht="12.75" outlineLevel="1">
      <c r="B252" s="444"/>
      <c r="C252" s="444"/>
      <c r="E252" s="441"/>
      <c r="F252" s="441"/>
      <c r="G252" s="441"/>
      <c r="H252" s="441"/>
      <c r="I252" s="441"/>
      <c r="J252" s="441"/>
      <c r="K252" s="441"/>
      <c r="L252" s="441"/>
    </row>
    <row r="253" spans="2:12" ht="12.75" outlineLevel="1">
      <c r="B253" s="444"/>
      <c r="C253" s="444"/>
      <c r="E253" s="441"/>
      <c r="F253" s="441"/>
      <c r="G253" s="441"/>
      <c r="H253" s="441"/>
      <c r="I253" s="441"/>
      <c r="J253" s="441"/>
      <c r="K253" s="441"/>
      <c r="L253" s="441"/>
    </row>
    <row r="254" spans="2:12" ht="12.75" outlineLevel="1">
      <c r="B254" s="444"/>
      <c r="C254" s="444"/>
      <c r="E254" s="441"/>
      <c r="F254" s="441"/>
      <c r="G254" s="441"/>
      <c r="H254" s="441"/>
      <c r="I254" s="441"/>
      <c r="J254" s="441"/>
      <c r="K254" s="441"/>
      <c r="L254" s="441"/>
    </row>
    <row r="255" spans="3:12" ht="12.75">
      <c r="C255" s="450"/>
      <c r="E255" s="442"/>
      <c r="F255" s="442"/>
      <c r="G255" s="442"/>
      <c r="H255" s="442"/>
      <c r="I255" s="442"/>
      <c r="J255" s="442"/>
      <c r="K255" s="442"/>
      <c r="L255" s="442"/>
    </row>
    <row r="256" spans="2:12" s="65" customFormat="1" ht="12.75">
      <c r="B256" s="64" t="s">
        <v>274</v>
      </c>
      <c r="C256" s="64"/>
      <c r="E256" s="462"/>
      <c r="F256" s="462"/>
      <c r="G256" s="462"/>
      <c r="H256" s="462"/>
      <c r="I256" s="462"/>
      <c r="J256" s="462"/>
      <c r="K256" s="462"/>
      <c r="L256" s="462"/>
    </row>
    <row r="257" spans="3:12" ht="12.75">
      <c r="C257" s="450"/>
      <c r="E257" s="442"/>
      <c r="F257" s="442"/>
      <c r="G257" s="442"/>
      <c r="H257" s="442"/>
      <c r="I257" s="442"/>
      <c r="J257" s="442"/>
      <c r="K257" s="442"/>
      <c r="L257" s="442"/>
    </row>
    <row r="258" spans="2:12" ht="12.75" outlineLevel="1">
      <c r="B258" s="445" t="s">
        <v>229</v>
      </c>
      <c r="C258" s="445"/>
      <c r="E258" s="442"/>
      <c r="F258" s="442"/>
      <c r="G258" s="442"/>
      <c r="H258" s="442"/>
      <c r="I258" s="442"/>
      <c r="J258" s="442"/>
      <c r="K258" s="442"/>
      <c r="L258" s="442"/>
    </row>
    <row r="259" spans="2:12" ht="12.75" outlineLevel="1">
      <c r="B259" s="444" t="s">
        <v>230</v>
      </c>
      <c r="C259" s="444"/>
      <c r="D259" s="30">
        <f>SUMPRODUCT(E137:L137,Rekenvol!E137:L137)/SUM(Rekenvol!E137:L137)</f>
        <v>2760</v>
      </c>
      <c r="E259" s="441"/>
      <c r="F259" s="442"/>
      <c r="G259" s="442"/>
      <c r="H259" s="442"/>
      <c r="I259" s="442"/>
      <c r="J259" s="442"/>
      <c r="K259" s="442"/>
      <c r="L259" s="442"/>
    </row>
    <row r="260" spans="2:12" ht="12.75" outlineLevel="1">
      <c r="B260" s="444"/>
      <c r="C260" s="444"/>
      <c r="D260" s="37"/>
      <c r="E260" s="441"/>
      <c r="F260" s="442"/>
      <c r="G260" s="442"/>
      <c r="H260" s="442"/>
      <c r="I260" s="442"/>
      <c r="J260" s="442"/>
      <c r="K260" s="442"/>
      <c r="L260" s="442"/>
    </row>
    <row r="261" spans="2:12" ht="12.75" outlineLevel="1">
      <c r="B261" s="444" t="s">
        <v>231</v>
      </c>
      <c r="C261" s="444"/>
      <c r="D261" s="30">
        <f>SUMPRODUCT(E139:L139,Rekenvol!E139:L139)/SUM(Rekenvol!E139:L139)</f>
        <v>7.661661080318536</v>
      </c>
      <c r="E261" s="442"/>
      <c r="F261" s="442"/>
      <c r="G261" s="442"/>
      <c r="H261" s="442"/>
      <c r="I261" s="442"/>
      <c r="J261" s="442"/>
      <c r="K261" s="442"/>
      <c r="L261" s="442"/>
    </row>
    <row r="262" spans="2:12" ht="12.75" outlineLevel="1">
      <c r="B262" s="444" t="s">
        <v>232</v>
      </c>
      <c r="C262" s="444"/>
      <c r="D262" s="30">
        <f>SUMPRODUCT(E140:L140,Rekenvol!E140:L140)/SUM(Rekenvol!E140:L140)</f>
        <v>0.73826428034409</v>
      </c>
      <c r="E262" s="442"/>
      <c r="F262" s="442"/>
      <c r="G262" s="442"/>
      <c r="H262" s="442"/>
      <c r="I262" s="442"/>
      <c r="J262" s="442"/>
      <c r="K262" s="442"/>
      <c r="L262" s="442"/>
    </row>
    <row r="263" spans="2:12" ht="12.75" outlineLevel="1">
      <c r="B263" s="444"/>
      <c r="C263" s="444"/>
      <c r="D263" s="37"/>
      <c r="E263" s="442"/>
      <c r="F263" s="442"/>
      <c r="G263" s="442"/>
      <c r="H263" s="442"/>
      <c r="I263" s="442"/>
      <c r="J263" s="442"/>
      <c r="K263" s="442"/>
      <c r="L263" s="442"/>
    </row>
    <row r="264" spans="2:12" ht="12.75" outlineLevel="1">
      <c r="B264" s="444" t="s">
        <v>234</v>
      </c>
      <c r="C264" s="444"/>
      <c r="D264" s="30">
        <f>SUMPRODUCT(E142:L142,Rekenvol!E142:L142)/SUM(Rekenvol!E142:L142)</f>
        <v>0</v>
      </c>
      <c r="E264" s="442"/>
      <c r="F264" s="442"/>
      <c r="G264" s="442"/>
      <c r="H264" s="442"/>
      <c r="I264" s="442"/>
      <c r="J264" s="442"/>
      <c r="K264" s="442"/>
      <c r="L264" s="442"/>
    </row>
    <row r="265" spans="2:12" ht="12.75" outlineLevel="1">
      <c r="B265" s="444" t="s">
        <v>275</v>
      </c>
      <c r="C265" s="444"/>
      <c r="D265" s="37"/>
      <c r="E265" s="442"/>
      <c r="F265" s="442"/>
      <c r="G265" s="442"/>
      <c r="H265" s="442"/>
      <c r="I265" s="442"/>
      <c r="J265" s="442"/>
      <c r="K265" s="442"/>
      <c r="L265" s="442"/>
    </row>
    <row r="266" spans="2:12" ht="12.75" outlineLevel="1">
      <c r="B266" s="445" t="s">
        <v>260</v>
      </c>
      <c r="C266" s="445"/>
      <c r="D266" s="37"/>
      <c r="E266" s="442"/>
      <c r="F266" s="442"/>
      <c r="G266" s="442"/>
      <c r="H266" s="442"/>
      <c r="I266" s="442"/>
      <c r="J266" s="442"/>
      <c r="K266" s="442"/>
      <c r="L266" s="442"/>
    </row>
    <row r="267" spans="2:12" ht="12.75" outlineLevel="1">
      <c r="B267" s="444" t="s">
        <v>230</v>
      </c>
      <c r="C267" s="444"/>
      <c r="D267" s="30">
        <f>SUMPRODUCT(E145:L145,Rekenvol!E145:L145)/SUM(Rekenvol!E145:L145)</f>
        <v>2760</v>
      </c>
      <c r="E267" s="441"/>
      <c r="F267" s="442"/>
      <c r="G267" s="442"/>
      <c r="H267" s="442"/>
      <c r="I267" s="442"/>
      <c r="J267" s="442"/>
      <c r="K267" s="442"/>
      <c r="L267" s="442"/>
    </row>
    <row r="268" spans="2:12" ht="12.75" outlineLevel="1">
      <c r="B268" s="444"/>
      <c r="C268" s="444"/>
      <c r="D268" s="37"/>
      <c r="E268" s="441"/>
      <c r="F268" s="442"/>
      <c r="G268" s="442"/>
      <c r="H268" s="442"/>
      <c r="I268" s="442"/>
      <c r="J268" s="442"/>
      <c r="K268" s="442"/>
      <c r="L268" s="442"/>
    </row>
    <row r="269" spans="2:12" ht="12.75" outlineLevel="1">
      <c r="B269" s="444" t="s">
        <v>231</v>
      </c>
      <c r="C269" s="444"/>
      <c r="D269" s="30">
        <f>SUMPRODUCT(E147:L147,Rekenvol!E147:L147)/SUM(Rekenvol!E147:L147)</f>
        <v>4.253915318187031</v>
      </c>
      <c r="E269" s="442"/>
      <c r="F269" s="442"/>
      <c r="G269" s="442"/>
      <c r="H269" s="442"/>
      <c r="I269" s="442"/>
      <c r="J269" s="442"/>
      <c r="K269" s="442"/>
      <c r="L269" s="442"/>
    </row>
    <row r="270" spans="2:12" ht="12.75" outlineLevel="1">
      <c r="B270" s="444" t="s">
        <v>236</v>
      </c>
      <c r="C270" s="444"/>
      <c r="D270" s="30">
        <f>SUMPRODUCT(E148:L148,Rekenvol!E148:L148)/SUM(Rekenvol!E148:L148)</f>
        <v>0.2895857845714176</v>
      </c>
      <c r="E270" s="442"/>
      <c r="F270" s="442"/>
      <c r="G270" s="442"/>
      <c r="H270" s="442"/>
      <c r="I270" s="442"/>
      <c r="J270" s="442"/>
      <c r="K270" s="442"/>
      <c r="L270" s="442"/>
    </row>
    <row r="271" spans="2:12" ht="12.75" outlineLevel="1">
      <c r="B271" s="444"/>
      <c r="C271" s="444"/>
      <c r="D271" s="37"/>
      <c r="E271" s="442"/>
      <c r="F271" s="442"/>
      <c r="G271" s="442"/>
      <c r="H271" s="442"/>
      <c r="I271" s="442"/>
      <c r="J271" s="442"/>
      <c r="K271" s="442"/>
      <c r="L271" s="442"/>
    </row>
    <row r="272" spans="2:12" ht="12.75" outlineLevel="1">
      <c r="B272" s="444" t="s">
        <v>234</v>
      </c>
      <c r="C272" s="444"/>
      <c r="D272" s="30">
        <f>SUMPRODUCT(E150:L150,Rekenvol!E150:L150)/SUM(Rekenvol!E150:L150)</f>
        <v>0.005991430025615537</v>
      </c>
      <c r="E272" s="442"/>
      <c r="F272" s="442"/>
      <c r="G272" s="442"/>
      <c r="H272" s="442"/>
      <c r="I272" s="442"/>
      <c r="J272" s="442"/>
      <c r="K272" s="442"/>
      <c r="L272" s="442"/>
    </row>
    <row r="273" spans="2:12" ht="12.75" outlineLevel="1">
      <c r="B273" s="444" t="s">
        <v>275</v>
      </c>
      <c r="C273" s="444"/>
      <c r="D273" s="37"/>
      <c r="E273" s="442"/>
      <c r="F273" s="442"/>
      <c r="G273" s="442"/>
      <c r="H273" s="442"/>
      <c r="I273" s="442"/>
      <c r="J273" s="442"/>
      <c r="K273" s="442"/>
      <c r="L273" s="442"/>
    </row>
    <row r="274" spans="2:12" ht="12.75" outlineLevel="1">
      <c r="B274" s="445" t="s">
        <v>237</v>
      </c>
      <c r="C274" s="445"/>
      <c r="D274" s="37"/>
      <c r="E274" s="442"/>
      <c r="F274" s="442"/>
      <c r="G274" s="442"/>
      <c r="H274" s="442"/>
      <c r="I274" s="442"/>
      <c r="J274" s="442"/>
      <c r="K274" s="442"/>
      <c r="L274" s="442"/>
    </row>
    <row r="275" spans="2:12" ht="12.75" outlineLevel="1">
      <c r="B275" s="444" t="s">
        <v>230</v>
      </c>
      <c r="C275" s="444"/>
      <c r="D275" s="30">
        <f>SUMPRODUCT(E153:L153,Rekenvol!E153:L153)/SUM(Rekenvol!E153:L153)</f>
        <v>2760</v>
      </c>
      <c r="E275" s="441"/>
      <c r="F275" s="442"/>
      <c r="G275" s="442"/>
      <c r="H275" s="442"/>
      <c r="I275" s="442"/>
      <c r="J275" s="442"/>
      <c r="K275" s="442"/>
      <c r="L275" s="442"/>
    </row>
    <row r="276" spans="2:12" ht="12.75" outlineLevel="1">
      <c r="B276" s="444"/>
      <c r="C276" s="444"/>
      <c r="D276" s="37"/>
      <c r="E276" s="441"/>
      <c r="F276" s="442"/>
      <c r="G276" s="442"/>
      <c r="H276" s="442"/>
      <c r="I276" s="442"/>
      <c r="J276" s="442"/>
      <c r="K276" s="442"/>
      <c r="L276" s="442"/>
    </row>
    <row r="277" spans="2:12" ht="12.75" outlineLevel="1">
      <c r="B277" s="444" t="s">
        <v>231</v>
      </c>
      <c r="C277" s="444"/>
      <c r="D277" s="30">
        <f>SUMPRODUCT(E155:L155,Rekenvol!E155:L155)/SUM(Rekenvol!E155:L155)</f>
        <v>12.43525738531874</v>
      </c>
      <c r="E277" s="442"/>
      <c r="F277" s="442"/>
      <c r="G277" s="442"/>
      <c r="H277" s="442"/>
      <c r="I277" s="442"/>
      <c r="J277" s="442"/>
      <c r="K277" s="442"/>
      <c r="L277" s="442"/>
    </row>
    <row r="278" spans="2:12" ht="12.75" outlineLevel="1">
      <c r="B278" s="444" t="s">
        <v>232</v>
      </c>
      <c r="C278" s="444"/>
      <c r="D278" s="30">
        <f>SUMPRODUCT(E156:L156,Rekenvol!E156:L156)/SUM(Rekenvol!E156:L156)</f>
        <v>1.6059334694393306</v>
      </c>
      <c r="E278" s="442"/>
      <c r="F278" s="442"/>
      <c r="G278" s="442"/>
      <c r="H278" s="442"/>
      <c r="I278" s="442"/>
      <c r="J278" s="442"/>
      <c r="K278" s="442"/>
      <c r="L278" s="442"/>
    </row>
    <row r="279" spans="2:12" ht="12.75" outlineLevel="1">
      <c r="B279" s="444"/>
      <c r="C279" s="444"/>
      <c r="D279" s="37"/>
      <c r="E279" s="442"/>
      <c r="F279" s="442"/>
      <c r="G279" s="442"/>
      <c r="H279" s="442"/>
      <c r="I279" s="442"/>
      <c r="J279" s="442"/>
      <c r="K279" s="442"/>
      <c r="L279" s="442"/>
    </row>
    <row r="280" spans="2:12" ht="12.75" outlineLevel="1">
      <c r="B280" s="444" t="s">
        <v>234</v>
      </c>
      <c r="C280" s="444"/>
      <c r="D280" s="30">
        <f>SUMPRODUCT(E158:L158,Rekenvol!E158:L158)/SUM(Rekenvol!E158:L158)</f>
        <v>0.005991430025615537</v>
      </c>
      <c r="E280" s="442"/>
      <c r="F280" s="442"/>
      <c r="G280" s="442"/>
      <c r="H280" s="442"/>
      <c r="I280" s="442"/>
      <c r="J280" s="442"/>
      <c r="K280" s="442"/>
      <c r="L280" s="442"/>
    </row>
    <row r="281" spans="2:12" ht="12.75" outlineLevel="1">
      <c r="B281" s="444" t="s">
        <v>275</v>
      </c>
      <c r="C281" s="444"/>
      <c r="D281" s="37"/>
      <c r="E281" s="442"/>
      <c r="F281" s="442"/>
      <c r="G281" s="442"/>
      <c r="H281" s="442"/>
      <c r="I281" s="442"/>
      <c r="J281" s="442"/>
      <c r="K281" s="442"/>
      <c r="L281" s="442"/>
    </row>
    <row r="282" spans="2:12" ht="12.75" outlineLevel="1">
      <c r="B282" s="445" t="s">
        <v>261</v>
      </c>
      <c r="C282" s="445"/>
      <c r="D282" s="37"/>
      <c r="E282" s="442"/>
      <c r="F282" s="442"/>
      <c r="G282" s="442"/>
      <c r="H282" s="442"/>
      <c r="I282" s="442"/>
      <c r="J282" s="442"/>
      <c r="K282" s="442"/>
      <c r="L282" s="442"/>
    </row>
    <row r="283" spans="2:12" ht="12.75" outlineLevel="1">
      <c r="B283" s="444" t="s">
        <v>230</v>
      </c>
      <c r="C283" s="444"/>
      <c r="D283" s="30">
        <f>SUMPRODUCT(E161:L161,Rekenvol!E161:L161)/SUM(Rekenvol!E161:L161)</f>
        <v>2760</v>
      </c>
      <c r="E283" s="441"/>
      <c r="F283" s="442"/>
      <c r="G283" s="442"/>
      <c r="H283" s="442"/>
      <c r="I283" s="442"/>
      <c r="J283" s="442"/>
      <c r="K283" s="442"/>
      <c r="L283" s="442"/>
    </row>
    <row r="284" spans="2:12" ht="12.75" outlineLevel="1">
      <c r="B284" s="444"/>
      <c r="C284" s="444"/>
      <c r="D284" s="37"/>
      <c r="E284" s="441"/>
      <c r="F284" s="442"/>
      <c r="G284" s="442"/>
      <c r="H284" s="442"/>
      <c r="I284" s="442"/>
      <c r="J284" s="442"/>
      <c r="K284" s="442"/>
      <c r="L284" s="442"/>
    </row>
    <row r="285" spans="2:12" ht="12.75" outlineLevel="1">
      <c r="B285" s="444" t="s">
        <v>231</v>
      </c>
      <c r="C285" s="444"/>
      <c r="D285" s="30">
        <f>SUMPRODUCT(E163:L163,Rekenvol!E163:L163)/SUM(Rekenvol!E163:L163)</f>
        <v>7.839464677805594</v>
      </c>
      <c r="E285" s="441"/>
      <c r="F285" s="442"/>
      <c r="G285" s="442"/>
      <c r="H285" s="442"/>
      <c r="I285" s="442"/>
      <c r="J285" s="442"/>
      <c r="K285" s="442"/>
      <c r="L285" s="442"/>
    </row>
    <row r="286" spans="2:12" ht="12.75" outlineLevel="1">
      <c r="B286" s="444" t="s">
        <v>236</v>
      </c>
      <c r="C286" s="444"/>
      <c r="D286" s="30">
        <f>SUMPRODUCT(E164:L164,Rekenvol!E164:L164)/SUM(Rekenvol!E164:L164)</f>
        <v>0.5536039385707769</v>
      </c>
      <c r="E286" s="441"/>
      <c r="F286" s="442"/>
      <c r="G286" s="442"/>
      <c r="H286" s="442"/>
      <c r="I286" s="442"/>
      <c r="J286" s="442"/>
      <c r="K286" s="442"/>
      <c r="L286" s="442"/>
    </row>
    <row r="287" spans="2:12" ht="12.75" outlineLevel="1">
      <c r="B287" s="444"/>
      <c r="C287" s="444"/>
      <c r="D287" s="37"/>
      <c r="E287" s="441"/>
      <c r="F287" s="442"/>
      <c r="G287" s="442"/>
      <c r="H287" s="442"/>
      <c r="I287" s="442"/>
      <c r="J287" s="442"/>
      <c r="K287" s="442"/>
      <c r="L287" s="442"/>
    </row>
    <row r="288" spans="2:12" ht="12.75" outlineLevel="1">
      <c r="B288" s="444" t="s">
        <v>234</v>
      </c>
      <c r="C288" s="444"/>
      <c r="D288" s="30">
        <f>SUMPRODUCT(E166:L166,Rekenvol!E166:L166)/SUM(Rekenvol!E166:L166)</f>
        <v>0.0029957150128077687</v>
      </c>
      <c r="E288" s="441"/>
      <c r="F288" s="442"/>
      <c r="G288" s="442"/>
      <c r="H288" s="442"/>
      <c r="I288" s="442"/>
      <c r="J288" s="442"/>
      <c r="K288" s="442"/>
      <c r="L288" s="442"/>
    </row>
    <row r="289" spans="2:12" ht="12.75" outlineLevel="1">
      <c r="B289" s="444" t="s">
        <v>275</v>
      </c>
      <c r="C289" s="444"/>
      <c r="D289" s="37"/>
      <c r="E289" s="441"/>
      <c r="F289" s="442"/>
      <c r="G289" s="442"/>
      <c r="H289" s="442"/>
      <c r="I289" s="442"/>
      <c r="J289" s="442"/>
      <c r="K289" s="442"/>
      <c r="L289" s="442"/>
    </row>
    <row r="290" spans="2:12" ht="12.75" outlineLevel="1">
      <c r="B290" s="445" t="s">
        <v>239</v>
      </c>
      <c r="C290" s="445"/>
      <c r="D290" s="37"/>
      <c r="E290" s="441"/>
      <c r="F290" s="442"/>
      <c r="G290" s="442"/>
      <c r="H290" s="442"/>
      <c r="I290" s="442"/>
      <c r="J290" s="442"/>
      <c r="K290" s="442"/>
      <c r="L290" s="442"/>
    </row>
    <row r="291" spans="2:12" ht="12.75" outlineLevel="1">
      <c r="B291" s="444" t="s">
        <v>230</v>
      </c>
      <c r="C291" s="444"/>
      <c r="D291" s="30">
        <f>SUMPRODUCT(E169:L169,Rekenvol!E169:L169)/SUM(Rekenvol!E169:L169)</f>
        <v>2760</v>
      </c>
      <c r="E291" s="441"/>
      <c r="F291" s="442"/>
      <c r="G291" s="442"/>
      <c r="H291" s="442"/>
      <c r="I291" s="442"/>
      <c r="J291" s="442"/>
      <c r="K291" s="442"/>
      <c r="L291" s="442"/>
    </row>
    <row r="292" spans="2:12" ht="12.75" outlineLevel="1">
      <c r="B292" s="444"/>
      <c r="C292" s="444"/>
      <c r="D292" s="37"/>
      <c r="E292" s="441"/>
      <c r="F292" s="442"/>
      <c r="G292" s="442"/>
      <c r="H292" s="442"/>
      <c r="I292" s="442"/>
      <c r="J292" s="442"/>
      <c r="K292" s="442"/>
      <c r="L292" s="442"/>
    </row>
    <row r="293" spans="2:12" ht="12.75" outlineLevel="1">
      <c r="B293" s="444" t="s">
        <v>231</v>
      </c>
      <c r="C293" s="444"/>
      <c r="D293" s="30">
        <f>SUMPRODUCT(E171:L171,Rekenvol!E171:L171)/SUM(Rekenvol!E171:L171)</f>
        <v>17.31745984213543</v>
      </c>
      <c r="E293" s="441"/>
      <c r="F293" s="442"/>
      <c r="G293" s="442"/>
      <c r="H293" s="442"/>
      <c r="I293" s="442"/>
      <c r="J293" s="442"/>
      <c r="K293" s="442"/>
      <c r="L293" s="442"/>
    </row>
    <row r="294" spans="2:12" ht="12.75" outlineLevel="1">
      <c r="B294" s="444" t="s">
        <v>232</v>
      </c>
      <c r="C294" s="444"/>
      <c r="D294" s="30">
        <f>SUMPRODUCT(E172:L172,Rekenvol!E172:L172)/SUM(Rekenvol!E172:L172)</f>
        <v>1.711466735960066</v>
      </c>
      <c r="E294" s="441"/>
      <c r="F294" s="442"/>
      <c r="G294" s="442"/>
      <c r="H294" s="442"/>
      <c r="I294" s="442"/>
      <c r="J294" s="442"/>
      <c r="K294" s="442"/>
      <c r="L294" s="442"/>
    </row>
    <row r="295" spans="2:12" ht="12.75" outlineLevel="1">
      <c r="B295" s="444"/>
      <c r="C295" s="444"/>
      <c r="D295" s="37"/>
      <c r="E295" s="441"/>
      <c r="F295" s="442"/>
      <c r="G295" s="442"/>
      <c r="H295" s="442"/>
      <c r="I295" s="442"/>
      <c r="J295" s="442"/>
      <c r="K295" s="442"/>
      <c r="L295" s="442"/>
    </row>
    <row r="296" spans="2:12" ht="12.75" outlineLevel="1">
      <c r="B296" s="444" t="s">
        <v>234</v>
      </c>
      <c r="C296" s="444"/>
      <c r="D296" s="30">
        <f>SUMPRODUCT(E174:L174,Rekenvol!E174:L174)/SUM(Rekenvol!E174:L174)</f>
        <v>0.003991383099059661</v>
      </c>
      <c r="E296" s="441"/>
      <c r="F296" s="442"/>
      <c r="G296" s="442"/>
      <c r="H296" s="442"/>
      <c r="I296" s="442"/>
      <c r="J296" s="442"/>
      <c r="K296" s="442"/>
      <c r="L296" s="442"/>
    </row>
    <row r="297" spans="2:12" ht="12.75" outlineLevel="1">
      <c r="B297" s="444" t="s">
        <v>275</v>
      </c>
      <c r="C297" s="444"/>
      <c r="D297" s="37"/>
      <c r="E297" s="441"/>
      <c r="F297" s="442"/>
      <c r="G297" s="442"/>
      <c r="H297" s="442"/>
      <c r="I297" s="442"/>
      <c r="J297" s="442"/>
      <c r="K297" s="442"/>
      <c r="L297" s="442"/>
    </row>
    <row r="298" spans="2:12" ht="12.75" outlineLevel="1">
      <c r="B298" s="445" t="s">
        <v>262</v>
      </c>
      <c r="C298" s="445"/>
      <c r="D298" s="37"/>
      <c r="E298" s="441"/>
      <c r="F298" s="442"/>
      <c r="G298" s="442"/>
      <c r="H298" s="442"/>
      <c r="I298" s="442"/>
      <c r="J298" s="442"/>
      <c r="K298" s="442"/>
      <c r="L298" s="442"/>
    </row>
    <row r="299" spans="2:12" ht="12.75" outlineLevel="1">
      <c r="B299" s="444" t="s">
        <v>230</v>
      </c>
      <c r="C299" s="444"/>
      <c r="D299" s="30">
        <f>SUMPRODUCT(E177:L177,Rekenvol!E177:L177)/SUM(Rekenvol!E177:L177)</f>
        <v>2760</v>
      </c>
      <c r="E299" s="441"/>
      <c r="F299" s="442"/>
      <c r="G299" s="442"/>
      <c r="H299" s="442"/>
      <c r="I299" s="442"/>
      <c r="J299" s="442"/>
      <c r="K299" s="442"/>
      <c r="L299" s="442"/>
    </row>
    <row r="300" spans="2:12" ht="12.75" outlineLevel="1">
      <c r="B300" s="444"/>
      <c r="C300" s="444"/>
      <c r="D300" s="37"/>
      <c r="E300" s="441"/>
      <c r="F300" s="442"/>
      <c r="G300" s="442"/>
      <c r="H300" s="442"/>
      <c r="I300" s="442"/>
      <c r="J300" s="442"/>
      <c r="K300" s="442"/>
      <c r="L300" s="442"/>
    </row>
    <row r="301" spans="2:12" ht="12.75" outlineLevel="1">
      <c r="B301" s="444" t="s">
        <v>231</v>
      </c>
      <c r="C301" s="444"/>
      <c r="D301" s="30">
        <f>SUMPRODUCT(E179:L179,Rekenvol!E179:L179)/SUM(Rekenvol!E179:L179)</f>
        <v>8.397897862033904</v>
      </c>
      <c r="E301" s="442"/>
      <c r="F301" s="442"/>
      <c r="G301" s="442"/>
      <c r="H301" s="442"/>
      <c r="I301" s="442"/>
      <c r="J301" s="442"/>
      <c r="K301" s="442"/>
      <c r="L301" s="442"/>
    </row>
    <row r="302" spans="2:12" ht="12.75" outlineLevel="1">
      <c r="B302" s="444" t="s">
        <v>236</v>
      </c>
      <c r="C302" s="444"/>
      <c r="D302" s="30">
        <f>SUMPRODUCT(E180:L180,Rekenvol!E180:L180)/SUM(Rekenvol!E180:L180)</f>
        <v>0.5477613825125698</v>
      </c>
      <c r="E302" s="442"/>
      <c r="F302" s="442"/>
      <c r="G302" s="442"/>
      <c r="H302" s="442"/>
      <c r="I302" s="442"/>
      <c r="J302" s="442"/>
      <c r="K302" s="442"/>
      <c r="L302" s="442"/>
    </row>
    <row r="303" spans="2:12" ht="12.75" outlineLevel="1">
      <c r="B303" s="444"/>
      <c r="C303" s="444"/>
      <c r="D303" s="37"/>
      <c r="E303" s="442"/>
      <c r="F303" s="442"/>
      <c r="G303" s="442"/>
      <c r="H303" s="442"/>
      <c r="I303" s="442"/>
      <c r="J303" s="442"/>
      <c r="K303" s="442"/>
      <c r="L303" s="442"/>
    </row>
    <row r="304" spans="2:12" ht="12.75" outlineLevel="1">
      <c r="B304" s="444" t="s">
        <v>234</v>
      </c>
      <c r="C304" s="444"/>
      <c r="D304" s="30">
        <f>SUMPRODUCT(E182:L182,Rekenvol!E182:L182)/SUM(Rekenvol!E182:L182)</f>
        <v>0.0019942397571878156</v>
      </c>
      <c r="E304" s="442"/>
      <c r="F304" s="442"/>
      <c r="G304" s="442"/>
      <c r="H304" s="442"/>
      <c r="I304" s="442"/>
      <c r="J304" s="442"/>
      <c r="K304" s="442"/>
      <c r="L304" s="442"/>
    </row>
    <row r="305" spans="2:12" ht="12.75" outlineLevel="1">
      <c r="B305" s="444" t="s">
        <v>275</v>
      </c>
      <c r="C305" s="444"/>
      <c r="D305" s="37"/>
      <c r="E305" s="441"/>
      <c r="F305" s="442"/>
      <c r="G305" s="442"/>
      <c r="H305" s="442"/>
      <c r="I305" s="442"/>
      <c r="J305" s="442"/>
      <c r="K305" s="442"/>
      <c r="L305" s="442"/>
    </row>
    <row r="306" spans="2:12" ht="12.75" outlineLevel="1">
      <c r="B306" s="445" t="s">
        <v>241</v>
      </c>
      <c r="C306" s="445"/>
      <c r="D306" s="37"/>
      <c r="E306" s="441"/>
      <c r="F306" s="442"/>
      <c r="G306" s="442"/>
      <c r="H306" s="442"/>
      <c r="I306" s="442"/>
      <c r="J306" s="442"/>
      <c r="K306" s="442"/>
      <c r="L306" s="442"/>
    </row>
    <row r="307" spans="2:12" ht="12.75" outlineLevel="1">
      <c r="B307" s="444" t="s">
        <v>230</v>
      </c>
      <c r="C307" s="450"/>
      <c r="D307" s="30">
        <f>SUMPRODUCT(E185:L185,Rekenvol!E185:L185)/SUM(Rekenvol!E185:L185)</f>
        <v>441</v>
      </c>
      <c r="E307" s="441"/>
      <c r="F307" s="442"/>
      <c r="G307" s="442"/>
      <c r="H307" s="442"/>
      <c r="I307" s="442"/>
      <c r="J307" s="442"/>
      <c r="K307" s="442"/>
      <c r="L307" s="442"/>
    </row>
    <row r="308" spans="2:12" ht="12.75" outlineLevel="1">
      <c r="B308" s="444" t="s">
        <v>231</v>
      </c>
      <c r="C308" s="450"/>
      <c r="D308" s="30">
        <f>SUMPRODUCT(E186:L186,Rekenvol!E186:L186)/SUM(Rekenvol!E186:L186)</f>
        <v>13.210255222970263</v>
      </c>
      <c r="E308" s="441"/>
      <c r="F308" s="442"/>
      <c r="G308" s="442"/>
      <c r="H308" s="442"/>
      <c r="I308" s="442"/>
      <c r="J308" s="442"/>
      <c r="K308" s="442"/>
      <c r="L308" s="442"/>
    </row>
    <row r="309" spans="2:12" ht="12.75" outlineLevel="1">
      <c r="B309" s="444" t="s">
        <v>232</v>
      </c>
      <c r="C309" s="450"/>
      <c r="D309" s="30">
        <f>SUMPRODUCT(E187:L187,Rekenvol!E187:L187)/SUM(Rekenvol!E187:L187)</f>
        <v>1.2352592368160906</v>
      </c>
      <c r="E309" s="441"/>
      <c r="F309" s="442"/>
      <c r="G309" s="442"/>
      <c r="H309" s="442"/>
      <c r="I309" s="442"/>
      <c r="J309" s="442"/>
      <c r="K309" s="442"/>
      <c r="L309" s="442"/>
    </row>
    <row r="310" spans="2:12" ht="12.75" outlineLevel="1">
      <c r="B310" s="444" t="s">
        <v>233</v>
      </c>
      <c r="C310" s="450"/>
      <c r="D310" s="30">
        <f>SUMPRODUCT(E188:L188,Rekenvol!E188:L188)/SUM(Rekenvol!E188:L188)</f>
        <v>0.003985499858328654</v>
      </c>
      <c r="E310" s="441"/>
      <c r="F310" s="442"/>
      <c r="G310" s="442"/>
      <c r="H310" s="442"/>
      <c r="I310" s="442"/>
      <c r="J310" s="442"/>
      <c r="K310" s="442"/>
      <c r="L310" s="442"/>
    </row>
    <row r="311" spans="2:12" ht="12.75" outlineLevel="1">
      <c r="B311" s="444" t="s">
        <v>234</v>
      </c>
      <c r="C311" s="450"/>
      <c r="D311" s="30">
        <f>SUMPRODUCT(E189:L189,Rekenvol!E189:L189)/SUM(Rekenvol!E189:L189)</f>
        <v>0.005982719271563446</v>
      </c>
      <c r="E311" s="441"/>
      <c r="F311" s="442"/>
      <c r="G311" s="442"/>
      <c r="H311" s="442"/>
      <c r="I311" s="442"/>
      <c r="J311" s="442"/>
      <c r="K311" s="442"/>
      <c r="L311" s="442"/>
    </row>
    <row r="312" spans="2:12" ht="12.75" outlineLevel="1">
      <c r="B312" s="444" t="s">
        <v>275</v>
      </c>
      <c r="C312" s="444"/>
      <c r="D312" s="37"/>
      <c r="E312" s="441"/>
      <c r="F312" s="442"/>
      <c r="G312" s="442"/>
      <c r="H312" s="442"/>
      <c r="I312" s="442"/>
      <c r="J312" s="442"/>
      <c r="K312" s="442"/>
      <c r="L312" s="442"/>
    </row>
    <row r="313" spans="2:12" ht="12.75" outlineLevel="1">
      <c r="B313" s="445" t="s">
        <v>243</v>
      </c>
      <c r="C313" s="445"/>
      <c r="D313" s="37"/>
      <c r="E313" s="441"/>
      <c r="F313" s="442"/>
      <c r="G313" s="442"/>
      <c r="H313" s="442"/>
      <c r="I313" s="442"/>
      <c r="J313" s="442"/>
      <c r="K313" s="442"/>
      <c r="L313" s="442"/>
    </row>
    <row r="314" spans="2:12" ht="12.75" outlineLevel="1">
      <c r="B314" s="444" t="s">
        <v>230</v>
      </c>
      <c r="C314" s="450"/>
      <c r="D314" s="30">
        <f>SUMPRODUCT(E192:L192,Rekenvol!E192:L192)/SUM(Rekenvol!E192:L192)</f>
        <v>441</v>
      </c>
      <c r="E314" s="441"/>
      <c r="F314" s="442"/>
      <c r="G314" s="442"/>
      <c r="H314" s="442"/>
      <c r="I314" s="442"/>
      <c r="J314" s="442"/>
      <c r="K314" s="442"/>
      <c r="L314" s="442"/>
    </row>
    <row r="315" spans="2:12" ht="12.75" outlineLevel="1">
      <c r="B315" s="444" t="s">
        <v>231</v>
      </c>
      <c r="C315" s="450"/>
      <c r="D315" s="30">
        <f>SUMPRODUCT(E193:L193,Rekenvol!E193:L193)/SUM(Rekenvol!E193:L193)</f>
        <v>12.27913030622157</v>
      </c>
      <c r="E315" s="442"/>
      <c r="F315" s="442"/>
      <c r="G315" s="442"/>
      <c r="H315" s="442"/>
      <c r="I315" s="442"/>
      <c r="J315" s="442"/>
      <c r="K315" s="442"/>
      <c r="L315" s="442"/>
    </row>
    <row r="316" spans="2:12" ht="12.75" outlineLevel="1">
      <c r="B316" s="444" t="s">
        <v>232</v>
      </c>
      <c r="C316" s="450"/>
      <c r="D316" s="30">
        <f>SUMPRODUCT(E194:L194,Rekenvol!E194:L194)/SUM(Rekenvol!E194:L194)</f>
        <v>1.2965837604482164</v>
      </c>
      <c r="E316" s="442"/>
      <c r="F316" s="442"/>
      <c r="G316" s="442"/>
      <c r="H316" s="442"/>
      <c r="I316" s="442"/>
      <c r="J316" s="442"/>
      <c r="K316" s="442"/>
      <c r="L316" s="442"/>
    </row>
    <row r="317" spans="2:12" ht="12.75" outlineLevel="1">
      <c r="B317" s="444" t="s">
        <v>233</v>
      </c>
      <c r="C317" s="450"/>
      <c r="D317" s="30">
        <f>SUMPRODUCT(E195:L195,Rekenvol!E195:L195)/SUM(Rekenvol!E195:L195)</f>
        <v>0.008089930412708533</v>
      </c>
      <c r="E317" s="442"/>
      <c r="F317" s="442"/>
      <c r="G317" s="442"/>
      <c r="H317" s="442"/>
      <c r="I317" s="442"/>
      <c r="J317" s="442"/>
      <c r="K317" s="442"/>
      <c r="L317" s="442"/>
    </row>
    <row r="318" spans="2:12" ht="12.75" outlineLevel="1">
      <c r="B318" s="444" t="s">
        <v>234</v>
      </c>
      <c r="C318" s="450"/>
      <c r="D318" s="30">
        <f>SUMPRODUCT(E196:L196,Rekenvol!E196:L196)/SUM(Rekenvol!E196:L196)</f>
        <v>0.007814689112169348</v>
      </c>
      <c r="E318" s="442"/>
      <c r="F318" s="442"/>
      <c r="G318" s="442"/>
      <c r="H318" s="442"/>
      <c r="I318" s="442"/>
      <c r="J318" s="442"/>
      <c r="K318" s="442"/>
      <c r="L318" s="442"/>
    </row>
    <row r="319" spans="2:12" ht="12.75" outlineLevel="1">
      <c r="B319" s="444" t="s">
        <v>275</v>
      </c>
      <c r="C319" s="444"/>
      <c r="D319" s="37"/>
      <c r="E319" s="442"/>
      <c r="F319" s="442"/>
      <c r="G319" s="442"/>
      <c r="H319" s="442"/>
      <c r="I319" s="442"/>
      <c r="J319" s="442"/>
      <c r="K319" s="442"/>
      <c r="L319" s="442"/>
    </row>
    <row r="320" spans="2:12" ht="12.75" outlineLevel="1">
      <c r="B320" s="445" t="s">
        <v>244</v>
      </c>
      <c r="C320" s="445"/>
      <c r="D320" s="37"/>
      <c r="E320" s="441"/>
      <c r="F320" s="442"/>
      <c r="G320" s="442"/>
      <c r="H320" s="442"/>
      <c r="I320" s="442"/>
      <c r="J320" s="442"/>
      <c r="K320" s="442"/>
      <c r="L320" s="442"/>
    </row>
    <row r="321" spans="2:12" ht="12.75" outlineLevel="1">
      <c r="B321" s="444" t="s">
        <v>230</v>
      </c>
      <c r="C321" s="450"/>
      <c r="D321" s="30">
        <f>SUMPRODUCT(E199:L199,Rekenvol!E199:L199)/SUM(Rekenvol!E199:L199)</f>
        <v>441</v>
      </c>
      <c r="E321" s="441"/>
      <c r="F321" s="442"/>
      <c r="G321" s="442"/>
      <c r="H321" s="442"/>
      <c r="I321" s="442"/>
      <c r="J321" s="442"/>
      <c r="K321" s="442"/>
      <c r="L321" s="442"/>
    </row>
    <row r="322" spans="2:12" ht="12.75" outlineLevel="1">
      <c r="B322" s="444" t="s">
        <v>231</v>
      </c>
      <c r="C322" s="450"/>
      <c r="D322" s="30">
        <f>SUMPRODUCT(E200:L200,Rekenvol!E200:L200)/SUM(Rekenvol!E200:L200)</f>
        <v>19.13149808059094</v>
      </c>
      <c r="E322" s="441"/>
      <c r="F322" s="442"/>
      <c r="G322" s="442"/>
      <c r="H322" s="442"/>
      <c r="I322" s="442"/>
      <c r="J322" s="442"/>
      <c r="K322" s="442"/>
      <c r="L322" s="442"/>
    </row>
    <row r="323" spans="2:12" ht="12.75" outlineLevel="1">
      <c r="B323" s="444" t="s">
        <v>232</v>
      </c>
      <c r="C323" s="450"/>
      <c r="D323" s="30">
        <f>SUMPRODUCT(E201:L201,Rekenvol!E201:L201)/SUM(Rekenvol!E201:L201)</f>
        <v>1.2965837604482164</v>
      </c>
      <c r="E323" s="441"/>
      <c r="F323" s="442"/>
      <c r="G323" s="442"/>
      <c r="H323" s="442"/>
      <c r="I323" s="442"/>
      <c r="J323" s="442"/>
      <c r="K323" s="442"/>
      <c r="L323" s="442"/>
    </row>
    <row r="324" spans="2:12" ht="12.75" outlineLevel="1">
      <c r="B324" s="444" t="s">
        <v>233</v>
      </c>
      <c r="C324" s="450"/>
      <c r="D324" s="30">
        <f>SUMPRODUCT(E202:L202,Rekenvol!E202:L202)/SUM(Rekenvol!E202:L202)</f>
        <v>0.008089930412708533</v>
      </c>
      <c r="E324" s="441"/>
      <c r="F324" s="442"/>
      <c r="G324" s="442"/>
      <c r="H324" s="442"/>
      <c r="I324" s="442"/>
      <c r="J324" s="442"/>
      <c r="K324" s="442"/>
      <c r="L324" s="442"/>
    </row>
    <row r="325" spans="2:12" ht="12.75" outlineLevel="1">
      <c r="B325" s="444" t="s">
        <v>234</v>
      </c>
      <c r="C325" s="450"/>
      <c r="D325" s="30">
        <f>SUMPRODUCT(E203:L203,Rekenvol!E203:L203)/SUM(Rekenvol!E203:L203)</f>
        <v>0.007814689112169348</v>
      </c>
      <c r="E325" s="441"/>
      <c r="F325" s="442"/>
      <c r="G325" s="442"/>
      <c r="H325" s="442"/>
      <c r="I325" s="442"/>
      <c r="J325" s="442"/>
      <c r="K325" s="442"/>
      <c r="L325" s="442"/>
    </row>
    <row r="326" spans="2:12" ht="12.75" outlineLevel="1">
      <c r="B326" s="444" t="s">
        <v>275</v>
      </c>
      <c r="C326" s="444"/>
      <c r="D326" s="37"/>
      <c r="E326" s="441"/>
      <c r="F326" s="442"/>
      <c r="G326" s="442"/>
      <c r="H326" s="442"/>
      <c r="I326" s="442"/>
      <c r="J326" s="442"/>
      <c r="K326" s="442"/>
      <c r="L326" s="442"/>
    </row>
    <row r="327" spans="2:12" ht="12.75" outlineLevel="1">
      <c r="B327" s="445" t="s">
        <v>245</v>
      </c>
      <c r="C327" s="445"/>
      <c r="D327" s="37"/>
      <c r="E327" s="441"/>
      <c r="F327" s="442"/>
      <c r="G327" s="442"/>
      <c r="H327" s="442"/>
      <c r="I327" s="442"/>
      <c r="J327" s="442"/>
      <c r="K327" s="442"/>
      <c r="L327" s="442"/>
    </row>
    <row r="328" spans="2:12" ht="12.75" outlineLevel="1">
      <c r="B328" s="444" t="s">
        <v>230</v>
      </c>
      <c r="C328" s="450"/>
      <c r="D328" s="30">
        <f>SUMPRODUCT(E206:L206,Rekenvol!E206:L206)/SUM(Rekenvol!E206:L206)</f>
        <v>18</v>
      </c>
      <c r="E328" s="460"/>
      <c r="F328" s="442"/>
      <c r="G328" s="442"/>
      <c r="H328" s="442"/>
      <c r="I328" s="442"/>
      <c r="J328" s="442"/>
      <c r="K328" s="442"/>
      <c r="L328" s="442"/>
    </row>
    <row r="329" spans="2:12" ht="12.75" outlineLevel="1">
      <c r="B329" s="444" t="s">
        <v>231</v>
      </c>
      <c r="C329" s="450"/>
      <c r="D329" s="30">
        <f>SUMPRODUCT(E207:L207,Rekenvol!E207:L207)/SUM(Rekenvol!E207:L207)</f>
        <v>5.2469769279207705</v>
      </c>
      <c r="E329" s="460"/>
      <c r="F329" s="442"/>
      <c r="G329" s="442"/>
      <c r="H329" s="442"/>
      <c r="I329" s="442"/>
      <c r="J329" s="442"/>
      <c r="K329" s="442"/>
      <c r="L329" s="442"/>
    </row>
    <row r="330" spans="2:12" ht="12.75" outlineLevel="1">
      <c r="B330" s="444" t="s">
        <v>246</v>
      </c>
      <c r="C330" s="450"/>
      <c r="D330" s="30">
        <f>SUMPRODUCT(E208:L208,Rekenvol!E208:L208)/SUM(Rekenvol!E208:L208)</f>
        <v>0.01583783977555161</v>
      </c>
      <c r="E330" s="460"/>
      <c r="F330" s="442"/>
      <c r="G330" s="442"/>
      <c r="H330" s="442"/>
      <c r="I330" s="442"/>
      <c r="J330" s="442"/>
      <c r="K330" s="442"/>
      <c r="L330" s="442"/>
    </row>
    <row r="331" spans="2:12" ht="12.75" outlineLevel="1">
      <c r="B331" s="444" t="s">
        <v>233</v>
      </c>
      <c r="C331" s="450"/>
      <c r="D331" s="30">
        <f>SUMPRODUCT(E209:L209,Rekenvol!E209:L209)/SUM(Rekenvol!E209:L209)</f>
        <v>0.03145562683601309</v>
      </c>
      <c r="E331" s="460"/>
      <c r="F331" s="442"/>
      <c r="G331" s="442"/>
      <c r="H331" s="442"/>
      <c r="I331" s="442"/>
      <c r="J331" s="442"/>
      <c r="K331" s="442"/>
      <c r="L331" s="442"/>
    </row>
    <row r="332" spans="2:12" ht="12.75" outlineLevel="1">
      <c r="B332" s="444" t="s">
        <v>234</v>
      </c>
      <c r="C332" s="450"/>
      <c r="D332" s="30">
        <f>SUMPRODUCT(E210:L210,Rekenvol!E210:L210)/SUM(Rekenvol!E210:L210)</f>
        <v>0.01248930572328464</v>
      </c>
      <c r="E332" s="460"/>
      <c r="F332" s="442"/>
      <c r="G332" s="442"/>
      <c r="H332" s="442"/>
      <c r="I332" s="442"/>
      <c r="J332" s="442"/>
      <c r="K332" s="442"/>
      <c r="L332" s="442"/>
    </row>
    <row r="333" spans="2:12" ht="12.75" outlineLevel="1">
      <c r="B333" s="444"/>
      <c r="C333" s="444"/>
      <c r="D333" s="37"/>
      <c r="E333" s="442"/>
      <c r="F333" s="442"/>
      <c r="G333" s="442"/>
      <c r="H333" s="442"/>
      <c r="I333" s="442"/>
      <c r="J333" s="442"/>
      <c r="K333" s="442"/>
      <c r="L333" s="442"/>
    </row>
    <row r="334" spans="2:12" ht="12.75" outlineLevel="1">
      <c r="B334" s="550" t="s">
        <v>247</v>
      </c>
      <c r="C334" s="453"/>
      <c r="D334" s="37"/>
      <c r="E334" s="442"/>
      <c r="F334" s="442"/>
      <c r="G334" s="442"/>
      <c r="H334" s="442"/>
      <c r="I334" s="442"/>
      <c r="J334" s="442"/>
      <c r="K334" s="442"/>
      <c r="L334" s="442"/>
    </row>
    <row r="335" spans="2:12" ht="12.75" outlineLevel="1">
      <c r="B335" s="551" t="s">
        <v>230</v>
      </c>
      <c r="C335" s="454"/>
      <c r="D335" s="549">
        <v>0</v>
      </c>
      <c r="E335" s="442"/>
      <c r="F335" s="442"/>
      <c r="G335" s="442"/>
      <c r="H335" s="442"/>
      <c r="I335" s="442"/>
      <c r="J335" s="442"/>
      <c r="K335" s="442"/>
      <c r="L335" s="442"/>
    </row>
    <row r="336" spans="2:12" ht="12.75" outlineLevel="1">
      <c r="B336" s="551" t="s">
        <v>242</v>
      </c>
      <c r="C336" s="454"/>
      <c r="D336" s="549">
        <v>0</v>
      </c>
      <c r="E336" s="442"/>
      <c r="F336" s="442"/>
      <c r="G336" s="442"/>
      <c r="H336" s="442"/>
      <c r="I336" s="442"/>
      <c r="J336" s="442"/>
      <c r="K336" s="442"/>
      <c r="L336" s="442"/>
    </row>
    <row r="337" spans="2:12" ht="12.75" outlineLevel="1">
      <c r="B337" s="551" t="s">
        <v>246</v>
      </c>
      <c r="C337" s="454"/>
      <c r="D337" s="549">
        <v>0</v>
      </c>
      <c r="E337" s="442"/>
      <c r="F337" s="442"/>
      <c r="G337" s="442"/>
      <c r="H337" s="442"/>
      <c r="I337" s="442"/>
      <c r="J337" s="442"/>
      <c r="K337" s="442"/>
      <c r="L337" s="442"/>
    </row>
    <row r="338" spans="2:12" ht="12.75" outlineLevel="1">
      <c r="B338" s="551" t="s">
        <v>233</v>
      </c>
      <c r="C338" s="454"/>
      <c r="D338" s="549">
        <v>0</v>
      </c>
      <c r="E338" s="442"/>
      <c r="F338" s="442"/>
      <c r="G338" s="442"/>
      <c r="H338" s="442"/>
      <c r="I338" s="442"/>
      <c r="J338" s="442"/>
      <c r="K338" s="442"/>
      <c r="L338" s="442"/>
    </row>
    <row r="339" spans="2:12" ht="12.75" outlineLevel="1">
      <c r="B339" s="551" t="s">
        <v>275</v>
      </c>
      <c r="C339" s="454"/>
      <c r="D339" s="37"/>
      <c r="E339" s="442"/>
      <c r="F339" s="442"/>
      <c r="G339" s="442"/>
      <c r="H339" s="442"/>
      <c r="I339" s="442"/>
      <c r="J339" s="442"/>
      <c r="K339" s="442"/>
      <c r="L339" s="442"/>
    </row>
    <row r="340" spans="2:12" ht="12.75" outlineLevel="1">
      <c r="B340" s="550" t="s">
        <v>248</v>
      </c>
      <c r="C340" s="453"/>
      <c r="D340" s="37"/>
      <c r="E340" s="442"/>
      <c r="F340" s="442"/>
      <c r="G340" s="442"/>
      <c r="H340" s="442"/>
      <c r="I340" s="442"/>
      <c r="J340" s="442"/>
      <c r="K340" s="442"/>
      <c r="L340" s="442"/>
    </row>
    <row r="341" spans="2:12" ht="12.75" outlineLevel="1">
      <c r="B341" s="551" t="s">
        <v>230</v>
      </c>
      <c r="C341" s="454"/>
      <c r="D341" s="549">
        <v>0</v>
      </c>
      <c r="E341" s="442"/>
      <c r="F341" s="442"/>
      <c r="G341" s="442"/>
      <c r="H341" s="442"/>
      <c r="I341" s="442"/>
      <c r="J341" s="442"/>
      <c r="K341" s="442"/>
      <c r="L341" s="442"/>
    </row>
    <row r="342" spans="2:12" ht="12.75" outlineLevel="1">
      <c r="B342" s="551" t="s">
        <v>242</v>
      </c>
      <c r="C342" s="454"/>
      <c r="D342" s="549">
        <v>0</v>
      </c>
      <c r="E342" s="442"/>
      <c r="F342" s="442"/>
      <c r="G342" s="442"/>
      <c r="H342" s="442"/>
      <c r="I342" s="442"/>
      <c r="J342" s="442"/>
      <c r="K342" s="442"/>
      <c r="L342" s="442"/>
    </row>
    <row r="343" spans="2:12" ht="12.75" outlineLevel="1">
      <c r="B343" s="551" t="s">
        <v>249</v>
      </c>
      <c r="C343" s="454"/>
      <c r="D343" s="549">
        <v>0</v>
      </c>
      <c r="E343" s="442"/>
      <c r="F343" s="442"/>
      <c r="G343" s="442"/>
      <c r="H343" s="442"/>
      <c r="I343" s="442"/>
      <c r="J343" s="442"/>
      <c r="K343" s="442"/>
      <c r="L343" s="442"/>
    </row>
    <row r="344" spans="2:12" ht="12.75" outlineLevel="1">
      <c r="B344" s="551" t="s">
        <v>275</v>
      </c>
      <c r="C344" s="454"/>
      <c r="D344" s="37"/>
      <c r="E344" s="442"/>
      <c r="F344" s="442"/>
      <c r="G344" s="442"/>
      <c r="H344" s="442"/>
      <c r="I344" s="442"/>
      <c r="J344" s="442"/>
      <c r="K344" s="442"/>
      <c r="L344" s="442"/>
    </row>
    <row r="345" spans="2:12" ht="12.75" outlineLevel="1">
      <c r="B345" s="550" t="s">
        <v>250</v>
      </c>
      <c r="C345" s="453"/>
      <c r="D345" s="37"/>
      <c r="E345" s="442"/>
      <c r="F345" s="442"/>
      <c r="G345" s="442"/>
      <c r="H345" s="442"/>
      <c r="I345" s="442"/>
      <c r="J345" s="442"/>
      <c r="K345" s="442"/>
      <c r="L345" s="442"/>
    </row>
    <row r="346" spans="2:12" ht="12.75" outlineLevel="1">
      <c r="B346" s="551" t="s">
        <v>230</v>
      </c>
      <c r="C346" s="454"/>
      <c r="D346" s="549">
        <v>0</v>
      </c>
      <c r="E346" s="442"/>
      <c r="F346" s="442"/>
      <c r="G346" s="442"/>
      <c r="H346" s="442"/>
      <c r="I346" s="442"/>
      <c r="J346" s="442"/>
      <c r="K346" s="442"/>
      <c r="L346" s="442"/>
    </row>
    <row r="347" spans="2:12" ht="12.75" outlineLevel="1">
      <c r="B347" s="551" t="s">
        <v>246</v>
      </c>
      <c r="C347" s="454"/>
      <c r="D347" s="549">
        <v>0</v>
      </c>
      <c r="E347" s="442"/>
      <c r="F347" s="442"/>
      <c r="G347" s="442"/>
      <c r="H347" s="442"/>
      <c r="I347" s="442"/>
      <c r="J347" s="442"/>
      <c r="K347" s="442"/>
      <c r="L347" s="442"/>
    </row>
    <row r="348" spans="2:12" ht="12.75" outlineLevel="1">
      <c r="B348" s="551" t="s">
        <v>233</v>
      </c>
      <c r="C348" s="454"/>
      <c r="D348" s="549">
        <v>0</v>
      </c>
      <c r="E348" s="442"/>
      <c r="F348" s="442"/>
      <c r="G348" s="442"/>
      <c r="H348" s="442"/>
      <c r="I348" s="442"/>
      <c r="J348" s="442"/>
      <c r="K348" s="442"/>
      <c r="L348" s="442"/>
    </row>
    <row r="349" spans="2:12" ht="12.75" outlineLevel="1">
      <c r="B349" s="551" t="s">
        <v>275</v>
      </c>
      <c r="C349" s="454"/>
      <c r="D349" s="37"/>
      <c r="E349" s="442"/>
      <c r="F349" s="442"/>
      <c r="G349" s="442"/>
      <c r="H349" s="442"/>
      <c r="I349" s="442"/>
      <c r="J349" s="442"/>
      <c r="K349" s="442"/>
      <c r="L349" s="442"/>
    </row>
    <row r="350" spans="2:12" ht="12.75" outlineLevel="1">
      <c r="B350" s="550" t="s">
        <v>251</v>
      </c>
      <c r="C350" s="453"/>
      <c r="D350" s="37"/>
      <c r="E350" s="442"/>
      <c r="F350" s="442"/>
      <c r="G350" s="442"/>
      <c r="H350" s="442"/>
      <c r="I350" s="442"/>
      <c r="J350" s="442"/>
      <c r="K350" s="442"/>
      <c r="L350" s="442"/>
    </row>
    <row r="351" spans="2:12" ht="12.75" outlineLevel="1">
      <c r="B351" s="551" t="s">
        <v>230</v>
      </c>
      <c r="C351" s="454"/>
      <c r="D351" s="549">
        <v>0</v>
      </c>
      <c r="E351" s="442"/>
      <c r="F351" s="442"/>
      <c r="G351" s="442"/>
      <c r="H351" s="442"/>
      <c r="I351" s="442"/>
      <c r="J351" s="442"/>
      <c r="K351" s="442"/>
      <c r="L351" s="442"/>
    </row>
    <row r="352" spans="2:12" ht="12.75" outlineLevel="1">
      <c r="B352" s="551" t="s">
        <v>249</v>
      </c>
      <c r="C352" s="454"/>
      <c r="D352" s="549">
        <v>0</v>
      </c>
      <c r="E352" s="442"/>
      <c r="F352" s="442"/>
      <c r="G352" s="442"/>
      <c r="H352" s="442"/>
      <c r="I352" s="442"/>
      <c r="J352" s="442"/>
      <c r="K352" s="442"/>
      <c r="L352" s="442"/>
    </row>
    <row r="353" spans="2:12" ht="12.75" outlineLevel="1">
      <c r="B353" s="551" t="s">
        <v>275</v>
      </c>
      <c r="C353" s="454"/>
      <c r="D353" s="37"/>
      <c r="E353" s="442"/>
      <c r="F353" s="442"/>
      <c r="G353" s="442"/>
      <c r="H353" s="442"/>
      <c r="I353" s="442"/>
      <c r="J353" s="442"/>
      <c r="K353" s="442"/>
      <c r="L353" s="442"/>
    </row>
    <row r="354" spans="2:12" ht="12.75" outlineLevel="1">
      <c r="B354" s="550" t="s">
        <v>257</v>
      </c>
      <c r="C354" s="453"/>
      <c r="D354" s="37"/>
      <c r="E354" s="442"/>
      <c r="F354" s="442"/>
      <c r="G354" s="442"/>
      <c r="H354" s="442"/>
      <c r="I354" s="442"/>
      <c r="J354" s="442"/>
      <c r="K354" s="442"/>
      <c r="L354" s="442"/>
    </row>
    <row r="355" spans="2:12" ht="12.75" outlineLevel="1">
      <c r="B355" s="551" t="s">
        <v>230</v>
      </c>
      <c r="C355" s="454"/>
      <c r="D355" s="549">
        <v>0</v>
      </c>
      <c r="E355" s="442"/>
      <c r="F355" s="442"/>
      <c r="G355" s="442"/>
      <c r="H355" s="442"/>
      <c r="I355" s="442"/>
      <c r="J355" s="442"/>
      <c r="K355" s="442"/>
      <c r="L355" s="442"/>
    </row>
    <row r="356" spans="2:12" ht="12.75" outlineLevel="1">
      <c r="B356" s="551" t="s">
        <v>246</v>
      </c>
      <c r="C356" s="454"/>
      <c r="D356" s="549">
        <v>0</v>
      </c>
      <c r="E356" s="442"/>
      <c r="F356" s="442"/>
      <c r="G356" s="442"/>
      <c r="H356" s="442"/>
      <c r="I356" s="442"/>
      <c r="J356" s="442"/>
      <c r="K356" s="442"/>
      <c r="L356" s="442"/>
    </row>
    <row r="357" spans="2:12" ht="12.75" outlineLevel="1">
      <c r="B357" s="551" t="s">
        <v>233</v>
      </c>
      <c r="C357" s="454"/>
      <c r="D357" s="549">
        <v>0</v>
      </c>
      <c r="E357" s="442"/>
      <c r="F357" s="442"/>
      <c r="G357" s="442"/>
      <c r="H357" s="442"/>
      <c r="I357" s="442"/>
      <c r="J357" s="442"/>
      <c r="K357" s="442"/>
      <c r="L357" s="442"/>
    </row>
    <row r="358" spans="2:12" ht="12.75" outlineLevel="1">
      <c r="B358" s="444" t="s">
        <v>275</v>
      </c>
      <c r="C358" s="444"/>
      <c r="D358" s="37"/>
      <c r="E358" s="441"/>
      <c r="F358" s="441"/>
      <c r="G358" s="442"/>
      <c r="H358" s="442"/>
      <c r="I358" s="442"/>
      <c r="J358" s="442"/>
      <c r="K358" s="442"/>
      <c r="L358" s="442"/>
    </row>
    <row r="359" spans="2:12" ht="12.75" outlineLevel="1">
      <c r="B359" s="445" t="s">
        <v>263</v>
      </c>
      <c r="C359" s="445"/>
      <c r="D359" s="37"/>
      <c r="E359" s="441"/>
      <c r="F359" s="441"/>
      <c r="G359" s="442"/>
      <c r="H359" s="442"/>
      <c r="I359" s="442"/>
      <c r="J359" s="442"/>
      <c r="K359" s="442"/>
      <c r="L359" s="442"/>
    </row>
    <row r="360" spans="2:12" ht="12.75" outlineLevel="1">
      <c r="B360" s="444" t="s">
        <v>264</v>
      </c>
      <c r="C360" s="444"/>
      <c r="D360" s="30">
        <f>SUMPRODUCT(E213:L213,Rekenvol!E238:L238)/SUM(Rekenvol!E238:L238)</f>
        <v>0.54</v>
      </c>
      <c r="E360" s="441"/>
      <c r="F360" s="441"/>
      <c r="G360" s="442"/>
      <c r="H360" s="442"/>
      <c r="I360" s="442"/>
      <c r="J360" s="442"/>
      <c r="K360" s="442"/>
      <c r="L360" s="442"/>
    </row>
    <row r="361" spans="2:12" ht="12.75" outlineLevel="1">
      <c r="B361" s="444" t="s">
        <v>265</v>
      </c>
      <c r="C361" s="444"/>
      <c r="D361" s="30">
        <f>SUMPRODUCT(E214:L214,Rekenvol!E239:L239)/SUM(Rekenvol!E239:L239)</f>
        <v>18</v>
      </c>
      <c r="E361" s="441"/>
      <c r="F361" s="441"/>
      <c r="G361" s="442"/>
      <c r="H361" s="442"/>
      <c r="I361" s="442"/>
      <c r="J361" s="442"/>
      <c r="K361" s="442"/>
      <c r="L361" s="442"/>
    </row>
    <row r="362" spans="2:12" ht="12.75" outlineLevel="1">
      <c r="B362" s="444" t="s">
        <v>275</v>
      </c>
      <c r="C362" s="444"/>
      <c r="D362" s="37"/>
      <c r="E362" s="442"/>
      <c r="F362" s="442"/>
      <c r="G362" s="442"/>
      <c r="H362" s="442"/>
      <c r="I362" s="442"/>
      <c r="J362" s="442"/>
      <c r="K362" s="442"/>
      <c r="L362" s="442"/>
    </row>
    <row r="363" spans="2:12" ht="12.75" outlineLevel="1">
      <c r="B363" s="445" t="s">
        <v>266</v>
      </c>
      <c r="C363" s="445"/>
      <c r="D363" s="37"/>
      <c r="E363" s="442"/>
      <c r="F363" s="442"/>
      <c r="G363" s="442"/>
      <c r="H363" s="442"/>
      <c r="I363" s="442"/>
      <c r="J363" s="442"/>
      <c r="K363" s="442"/>
      <c r="L363" s="442"/>
    </row>
    <row r="364" spans="2:12" ht="12.75" outlineLevel="1">
      <c r="B364" s="444" t="s">
        <v>267</v>
      </c>
      <c r="C364" s="444"/>
      <c r="D364" s="30">
        <f>SUMPRODUCT(E217:L217,Rekenvol!E242:L242)/SUM(Rekenvol!E242:L242)</f>
        <v>1.4678001369020173</v>
      </c>
      <c r="E364" s="442"/>
      <c r="F364" s="442"/>
      <c r="G364" s="442"/>
      <c r="H364" s="442"/>
      <c r="I364" s="442"/>
      <c r="J364" s="442"/>
      <c r="K364" s="442"/>
      <c r="L364" s="442"/>
    </row>
    <row r="365" spans="2:12" ht="12.75" outlineLevel="1">
      <c r="B365" s="444" t="s">
        <v>268</v>
      </c>
      <c r="C365" s="444"/>
      <c r="D365" s="30">
        <f>SUMPRODUCT(E218:L218,Rekenvol!E243:L243)/SUM(Rekenvol!E243:L243)</f>
        <v>117.42401095216137</v>
      </c>
      <c r="E365" s="442"/>
      <c r="F365" s="442"/>
      <c r="G365" s="442"/>
      <c r="H365" s="442"/>
      <c r="I365" s="442"/>
      <c r="J365" s="442"/>
      <c r="K365" s="442"/>
      <c r="L365" s="442"/>
    </row>
    <row r="366" spans="2:12" ht="12.75" outlineLevel="1">
      <c r="B366" s="444" t="s">
        <v>269</v>
      </c>
      <c r="C366" s="444"/>
      <c r="D366" s="30">
        <f>SUMPRODUCT(E219:L219,Rekenvol!E244:L244)/SUM(Rekenvol!E244:L244)</f>
        <v>587.1200547608069</v>
      </c>
      <c r="E366" s="442"/>
      <c r="F366" s="442"/>
      <c r="G366" s="442"/>
      <c r="H366" s="442"/>
      <c r="I366" s="442"/>
      <c r="J366" s="442"/>
      <c r="K366" s="442"/>
      <c r="L366" s="442"/>
    </row>
    <row r="367" spans="2:12" ht="12.75" outlineLevel="1">
      <c r="B367" s="444" t="s">
        <v>270</v>
      </c>
      <c r="C367" s="444"/>
      <c r="D367" s="30">
        <f>SUMPRODUCT(E220:L220,Rekenvol!E245:L245)/SUM(Rekenvol!E245:L245)</f>
        <v>880.6800821412103</v>
      </c>
      <c r="E367" s="442"/>
      <c r="F367" s="442"/>
      <c r="G367" s="442"/>
      <c r="H367" s="442"/>
      <c r="I367" s="442"/>
      <c r="J367" s="442"/>
      <c r="K367" s="442"/>
      <c r="L367" s="442"/>
    </row>
    <row r="368" spans="2:12" ht="12.75" outlineLevel="1">
      <c r="B368" s="444" t="s">
        <v>271</v>
      </c>
      <c r="C368" s="444"/>
      <c r="D368" s="30">
        <f>SUMPRODUCT(E221:L221,Rekenvol!E246:L246)/SUM(Rekenvol!E246:L246)</f>
        <v>1174.2401095216137</v>
      </c>
      <c r="E368" s="442"/>
      <c r="F368" s="442"/>
      <c r="G368" s="442"/>
      <c r="H368" s="442"/>
      <c r="I368" s="442"/>
      <c r="J368" s="442"/>
      <c r="K368" s="442"/>
      <c r="L368" s="442"/>
    </row>
    <row r="369" spans="2:12" ht="12.75" outlineLevel="1">
      <c r="B369" s="444" t="s">
        <v>272</v>
      </c>
      <c r="C369" s="444"/>
      <c r="D369" s="30">
        <f>SUMPRODUCT(E222:L222,Rekenvol!E247:L247)/SUM(Rekenvol!E247:L247)</f>
        <v>1467.8001369020171</v>
      </c>
      <c r="E369" s="442"/>
      <c r="F369" s="442"/>
      <c r="G369" s="442"/>
      <c r="H369" s="442"/>
      <c r="I369" s="442"/>
      <c r="J369" s="442"/>
      <c r="K369" s="442"/>
      <c r="L369" s="442"/>
    </row>
    <row r="370" spans="2:12" ht="12.75" outlineLevel="1">
      <c r="B370" s="444" t="s">
        <v>275</v>
      </c>
      <c r="C370" s="444"/>
      <c r="D370" s="68"/>
      <c r="E370" s="442"/>
      <c r="F370" s="442"/>
      <c r="G370" s="442"/>
      <c r="H370" s="442"/>
      <c r="I370" s="442"/>
      <c r="J370" s="442"/>
      <c r="K370" s="442"/>
      <c r="L370" s="442"/>
    </row>
    <row r="371" spans="2:12" ht="12.75" outlineLevel="1">
      <c r="B371" s="444" t="s">
        <v>275</v>
      </c>
      <c r="C371" s="444"/>
      <c r="D371" s="68"/>
      <c r="E371" s="442"/>
      <c r="F371" s="442"/>
      <c r="G371" s="442"/>
      <c r="H371" s="442"/>
      <c r="I371" s="442"/>
      <c r="J371" s="442"/>
      <c r="K371" s="442"/>
      <c r="L371" s="442"/>
    </row>
    <row r="372" spans="2:12" ht="12.75" outlineLevel="1">
      <c r="B372" s="445" t="s">
        <v>252</v>
      </c>
      <c r="C372" s="445"/>
      <c r="D372" s="68"/>
      <c r="E372" s="442"/>
      <c r="F372" s="442"/>
      <c r="G372" s="442"/>
      <c r="H372" s="442"/>
      <c r="I372" s="442"/>
      <c r="J372" s="442"/>
      <c r="K372" s="442"/>
      <c r="L372" s="442"/>
    </row>
    <row r="373" spans="2:12" ht="12.75" outlineLevel="1">
      <c r="B373" s="444" t="s">
        <v>275</v>
      </c>
      <c r="C373" s="444"/>
      <c r="D373" s="68"/>
      <c r="E373" s="442"/>
      <c r="F373" s="442"/>
      <c r="G373" s="442"/>
      <c r="H373" s="442"/>
      <c r="I373" s="442"/>
      <c r="J373" s="442"/>
      <c r="K373" s="442"/>
      <c r="L373" s="442"/>
    </row>
    <row r="374" spans="2:12" ht="12.75" outlineLevel="1">
      <c r="B374" s="446" t="s">
        <v>404</v>
      </c>
      <c r="C374" s="446"/>
      <c r="D374" s="30">
        <f>SUMPRODUCT(Wegingsfactor!E227:L227,Rekenvol!E251:L251)/SUM(Rekenvol!E251:L251)</f>
        <v>5.444683973335042</v>
      </c>
      <c r="E374" s="442"/>
      <c r="F374" s="442"/>
      <c r="G374" s="442"/>
      <c r="H374" s="442"/>
      <c r="I374" s="442"/>
      <c r="J374" s="442"/>
      <c r="K374" s="442"/>
      <c r="L374" s="442"/>
    </row>
    <row r="375" spans="2:12" ht="12.75" outlineLevel="1">
      <c r="B375" s="446" t="s">
        <v>405</v>
      </c>
      <c r="C375" s="446"/>
      <c r="D375" s="30">
        <f>SUMPRODUCT(Wegingsfactor!E228:L228,Rekenvol!E252:L252)/SUM(Rekenvol!E252:L252)</f>
        <v>17.57918041442624</v>
      </c>
      <c r="E375" s="442"/>
      <c r="F375" s="442"/>
      <c r="G375" s="442"/>
      <c r="H375" s="442"/>
      <c r="I375" s="442"/>
      <c r="J375" s="442"/>
      <c r="K375" s="442"/>
      <c r="L375" s="442"/>
    </row>
    <row r="376" spans="2:12" ht="12.75" outlineLevel="1">
      <c r="B376" s="446" t="s">
        <v>406</v>
      </c>
      <c r="C376" s="446"/>
      <c r="D376" s="30">
        <f>SUMPRODUCT(Wegingsfactor!E229:L229,Rekenvol!E253:L253)/SUM(Rekenvol!E253:L253)</f>
        <v>28.210972201735853</v>
      </c>
      <c r="E376" s="442"/>
      <c r="F376" s="442"/>
      <c r="G376" s="442"/>
      <c r="H376" s="442"/>
      <c r="I376" s="442"/>
      <c r="J376" s="442"/>
      <c r="K376" s="442"/>
      <c r="L376" s="442"/>
    </row>
    <row r="377" spans="2:12" ht="12.75" outlineLevel="1">
      <c r="B377" s="446" t="s">
        <v>394</v>
      </c>
      <c r="C377" s="446"/>
      <c r="D377" s="30">
        <f>SUMPRODUCT(Wegingsfactor!E230:L230,Rekenvol!E254:L254)/SUM(Rekenvol!E254:L254)</f>
        <v>126.10751057040058</v>
      </c>
      <c r="E377" s="442"/>
      <c r="F377" s="442"/>
      <c r="G377" s="442"/>
      <c r="H377" s="442"/>
      <c r="I377" s="442"/>
      <c r="J377" s="442"/>
      <c r="K377" s="442"/>
      <c r="L377" s="442"/>
    </row>
    <row r="378" spans="2:12" ht="12.75" outlineLevel="1">
      <c r="B378" s="446" t="s">
        <v>397</v>
      </c>
      <c r="C378" s="446"/>
      <c r="D378" s="30">
        <f>SUMPRODUCT(Wegingsfactor!E231:L231,Rekenvol!E255:L255)/SUM(Rekenvol!E255:L255)</f>
        <v>727.1217191990185</v>
      </c>
      <c r="E378" s="442"/>
      <c r="F378" s="442"/>
      <c r="G378" s="442"/>
      <c r="H378" s="442"/>
      <c r="I378" s="442"/>
      <c r="J378" s="442"/>
      <c r="K378" s="442"/>
      <c r="L378" s="442"/>
    </row>
    <row r="379" spans="2:12" ht="12.75" outlineLevel="1">
      <c r="B379" s="446" t="s">
        <v>400</v>
      </c>
      <c r="C379" s="446"/>
      <c r="D379" s="30">
        <f>SUMPRODUCT(Wegingsfactor!E232:L232,Rekenvol!E256:L256)/SUM(Rekenvol!E256:L256)</f>
        <v>4952.134773382645</v>
      </c>
      <c r="E379" s="442"/>
      <c r="F379" s="442"/>
      <c r="G379" s="442"/>
      <c r="H379" s="442"/>
      <c r="I379" s="442"/>
      <c r="J379" s="442"/>
      <c r="K379" s="442"/>
      <c r="L379" s="442"/>
    </row>
    <row r="380" spans="2:12" ht="12.75" outlineLevel="1">
      <c r="B380" s="447"/>
      <c r="C380" s="447"/>
      <c r="D380" s="68"/>
      <c r="E380" s="442"/>
      <c r="F380" s="442"/>
      <c r="G380" s="442"/>
      <c r="H380" s="442"/>
      <c r="I380" s="442"/>
      <c r="J380" s="442"/>
      <c r="K380" s="442"/>
      <c r="L380" s="442"/>
    </row>
    <row r="381" spans="2:12" ht="12.75" outlineLevel="1">
      <c r="B381" s="447" t="s">
        <v>417</v>
      </c>
      <c r="C381" s="447"/>
      <c r="D381" s="30">
        <f>SUMPRODUCT(Wegingsfactor!E234:L234,Rekenvol!E258:L258)/SUM(Rekenvol!E258:L258)</f>
        <v>4.361696404098325</v>
      </c>
      <c r="E381" s="442"/>
      <c r="F381" s="442"/>
      <c r="G381" s="442"/>
      <c r="H381" s="442"/>
      <c r="I381" s="442"/>
      <c r="J381" s="442"/>
      <c r="K381" s="442"/>
      <c r="L381" s="442"/>
    </row>
    <row r="382" spans="2:12" ht="12.75" outlineLevel="1">
      <c r="B382" s="444"/>
      <c r="C382" s="444"/>
      <c r="D382" s="68"/>
      <c r="E382" s="442"/>
      <c r="F382" s="442"/>
      <c r="G382" s="442"/>
      <c r="H382" s="442"/>
      <c r="I382" s="442"/>
      <c r="J382" s="442"/>
      <c r="K382" s="442"/>
      <c r="L382" s="442"/>
    </row>
    <row r="383" spans="2:12" ht="12.75" outlineLevel="1">
      <c r="B383" s="445" t="s">
        <v>254</v>
      </c>
      <c r="C383" s="445"/>
      <c r="D383" s="68"/>
      <c r="E383" s="442"/>
      <c r="F383" s="442"/>
      <c r="G383" s="442"/>
      <c r="H383" s="442"/>
      <c r="I383" s="442"/>
      <c r="J383" s="442"/>
      <c r="K383" s="442"/>
      <c r="L383" s="442"/>
    </row>
    <row r="384" spans="2:12" ht="12.75" outlineLevel="1">
      <c r="B384" s="449" t="s">
        <v>562</v>
      </c>
      <c r="C384" s="449"/>
      <c r="D384" s="68"/>
      <c r="E384" s="442"/>
      <c r="F384" s="442"/>
      <c r="G384" s="442"/>
      <c r="H384" s="442"/>
      <c r="I384" s="442"/>
      <c r="J384" s="442"/>
      <c r="K384" s="442"/>
      <c r="L384" s="442"/>
    </row>
    <row r="385" spans="2:12" ht="12.75" outlineLevel="1">
      <c r="B385" s="446" t="s">
        <v>404</v>
      </c>
      <c r="C385" s="446"/>
      <c r="D385" s="30">
        <f>SUMPRODUCT(Wegingsfactor!E238:L238,Rekenvol!E262:L262)/SUM(Rekenvol!E262:L262)</f>
        <v>331.505</v>
      </c>
      <c r="E385" s="442"/>
      <c r="F385" s="442"/>
      <c r="G385" s="442"/>
      <c r="H385" s="442"/>
      <c r="I385" s="442"/>
      <c r="J385" s="442"/>
      <c r="K385" s="442"/>
      <c r="L385" s="442"/>
    </row>
    <row r="386" spans="2:12" ht="12.75" outlineLevel="1">
      <c r="B386" s="446" t="s">
        <v>405</v>
      </c>
      <c r="C386" s="446"/>
      <c r="D386" s="30">
        <f>SUMPRODUCT(Wegingsfactor!E239:L239,Rekenvol!E263:L263)/SUM(Rekenvol!E263:L263)</f>
        <v>569.2033333333333</v>
      </c>
      <c r="E386" s="442"/>
      <c r="F386" s="442"/>
      <c r="G386" s="442"/>
      <c r="H386" s="442"/>
      <c r="I386" s="442"/>
      <c r="J386" s="442"/>
      <c r="K386" s="442"/>
      <c r="L386" s="442"/>
    </row>
    <row r="387" spans="2:12" ht="12.75" outlineLevel="1">
      <c r="B387" s="446" t="s">
        <v>406</v>
      </c>
      <c r="C387" s="446"/>
      <c r="D387" s="30">
        <f>SUMPRODUCT(Wegingsfactor!E240:L240,Rekenvol!E264:L264)/SUM(Rekenvol!E264:L264)</f>
        <v>939.0362962962964</v>
      </c>
      <c r="E387" s="442"/>
      <c r="F387" s="442"/>
      <c r="G387" s="442"/>
      <c r="H387" s="442"/>
      <c r="I387" s="442"/>
      <c r="J387" s="442"/>
      <c r="K387" s="442"/>
      <c r="L387" s="442"/>
    </row>
    <row r="388" spans="2:12" ht="12.75" outlineLevel="1">
      <c r="B388" s="446" t="s">
        <v>394</v>
      </c>
      <c r="C388" s="446"/>
      <c r="D388" s="30">
        <f>SUMPRODUCT(Wegingsfactor!E241:L241,Rekenvol!E265:L265)/SUM(Rekenvol!E265:L265)</f>
        <v>5881.365555555555</v>
      </c>
      <c r="E388" s="442"/>
      <c r="F388" s="442"/>
      <c r="G388" s="442"/>
      <c r="H388" s="442"/>
      <c r="I388" s="442"/>
      <c r="J388" s="442"/>
      <c r="K388" s="442"/>
      <c r="L388" s="442"/>
    </row>
    <row r="389" spans="2:12" ht="12.75" outlineLevel="1">
      <c r="B389" s="446" t="s">
        <v>397</v>
      </c>
      <c r="C389" s="446"/>
      <c r="D389" s="30">
        <f>SUMPRODUCT(Wegingsfactor!E242:L242,Rekenvol!E266:L266)/SUM(Rekenvol!E266:L266)</f>
        <v>31799.630549999998</v>
      </c>
      <c r="E389" s="442"/>
      <c r="F389" s="442"/>
      <c r="G389" s="442"/>
      <c r="H389" s="442"/>
      <c r="I389" s="442"/>
      <c r="J389" s="442"/>
      <c r="K389" s="442"/>
      <c r="L389" s="442"/>
    </row>
    <row r="390" spans="2:12" ht="12.75" outlineLevel="1">
      <c r="B390" s="446" t="s">
        <v>400</v>
      </c>
      <c r="C390" s="446"/>
      <c r="D390" s="30">
        <f>SUMPRODUCT(Wegingsfactor!E243:L243,Rekenvol!E267:L267)/SUM(Rekenvol!E267:L267)</f>
        <v>212928.9389538461</v>
      </c>
      <c r="E390" s="442"/>
      <c r="F390" s="442"/>
      <c r="G390" s="442"/>
      <c r="H390" s="442"/>
      <c r="I390" s="442"/>
      <c r="J390" s="442"/>
      <c r="K390" s="442"/>
      <c r="L390" s="442"/>
    </row>
    <row r="391" spans="2:12" ht="12.75" outlineLevel="1">
      <c r="B391" s="45"/>
      <c r="C391" s="45"/>
      <c r="D391" s="68"/>
      <c r="E391" s="442"/>
      <c r="F391" s="442"/>
      <c r="G391" s="442"/>
      <c r="H391" s="442"/>
      <c r="I391" s="442"/>
      <c r="J391" s="442"/>
      <c r="K391" s="442"/>
      <c r="L391" s="442"/>
    </row>
    <row r="392" spans="2:12" ht="12.75" outlineLevel="1">
      <c r="B392" s="449" t="s">
        <v>563</v>
      </c>
      <c r="C392" s="449"/>
      <c r="D392" s="68"/>
      <c r="E392" s="442"/>
      <c r="F392" s="442"/>
      <c r="G392" s="442"/>
      <c r="H392" s="442"/>
      <c r="I392" s="442"/>
      <c r="J392" s="442"/>
      <c r="K392" s="442"/>
      <c r="L392" s="442"/>
    </row>
    <row r="393" spans="2:12" ht="12.75" outlineLevel="1">
      <c r="B393" s="446" t="s">
        <v>404</v>
      </c>
      <c r="C393" s="446"/>
      <c r="D393" s="30">
        <f>SUMPRODUCT(Wegingsfactor!E246:L246,Rekenvol!E270:L270)/SUM(Rekenvol!E270:L270)</f>
        <v>16.97625</v>
      </c>
      <c r="E393" s="442"/>
      <c r="F393" s="442"/>
      <c r="G393" s="442"/>
      <c r="H393" s="442"/>
      <c r="I393" s="442"/>
      <c r="J393" s="442"/>
      <c r="K393" s="442"/>
      <c r="L393" s="442"/>
    </row>
    <row r="394" spans="2:12" ht="12.75" outlineLevel="1">
      <c r="B394" s="446" t="s">
        <v>405</v>
      </c>
      <c r="C394" s="446"/>
      <c r="D394" s="30">
        <f>SUMPRODUCT(Wegingsfactor!E247:L247,Rekenvol!E271:L271)/SUM(Rekenvol!E271:L271)</f>
        <v>20.65111111111111</v>
      </c>
      <c r="E394" s="442"/>
      <c r="F394" s="442"/>
      <c r="G394" s="442"/>
      <c r="H394" s="442"/>
      <c r="I394" s="442"/>
      <c r="J394" s="442"/>
      <c r="K394" s="442"/>
      <c r="L394" s="442"/>
    </row>
    <row r="395" spans="2:12" ht="12.75" outlineLevel="1">
      <c r="B395" s="446" t="s">
        <v>406</v>
      </c>
      <c r="C395" s="446"/>
      <c r="D395" s="30">
        <f>SUMPRODUCT(Wegingsfactor!E248:L248,Rekenvol!E272:L272)/SUM(Rekenvol!E272:L272)</f>
        <v>27.113333333333337</v>
      </c>
      <c r="E395" s="442"/>
      <c r="F395" s="442"/>
      <c r="G395" s="442"/>
      <c r="H395" s="442"/>
      <c r="I395" s="442"/>
      <c r="J395" s="442"/>
      <c r="K395" s="442"/>
      <c r="L395" s="442"/>
    </row>
    <row r="396" spans="2:12" ht="12.75" outlineLevel="1">
      <c r="B396" s="446" t="s">
        <v>394</v>
      </c>
      <c r="C396" s="446"/>
      <c r="D396" s="30">
        <f>SUMPRODUCT(Wegingsfactor!E249:L249,Rekenvol!E273:L273)/SUM(Rekenvol!E273:L273)</f>
        <v>59.852962962962955</v>
      </c>
      <c r="E396" s="442"/>
      <c r="F396" s="442"/>
      <c r="G396" s="442"/>
      <c r="H396" s="442"/>
      <c r="I396" s="442"/>
      <c r="J396" s="442"/>
      <c r="K396" s="442"/>
      <c r="L396" s="442"/>
    </row>
    <row r="397" spans="2:12" ht="12.75" outlineLevel="1">
      <c r="B397" s="446" t="s">
        <v>397</v>
      </c>
      <c r="C397" s="446"/>
      <c r="D397" s="30">
        <f>SUMPRODUCT(Wegingsfactor!E250:L250,Rekenvol!E274:L274)/SUM(Rekenvol!E274:L274)</f>
        <v>139.55565217391305</v>
      </c>
      <c r="E397" s="442"/>
      <c r="F397" s="442"/>
      <c r="G397" s="442"/>
      <c r="H397" s="442"/>
      <c r="I397" s="442"/>
      <c r="J397" s="442"/>
      <c r="K397" s="442"/>
      <c r="L397" s="442"/>
    </row>
    <row r="398" spans="2:12" ht="12.75" outlineLevel="1">
      <c r="B398" s="446" t="s">
        <v>400</v>
      </c>
      <c r="C398" s="446"/>
      <c r="D398" s="30">
        <f>SUMPRODUCT(Wegingsfactor!E251:L251,Rekenvol!E275:L275)/SUM(Rekenvol!E275:L275)</f>
        <v>144.64384615384614</v>
      </c>
      <c r="E398" s="442"/>
      <c r="F398" s="442"/>
      <c r="G398" s="442"/>
      <c r="H398" s="442"/>
      <c r="I398" s="442"/>
      <c r="J398" s="442"/>
      <c r="K398" s="442"/>
      <c r="L398" s="442"/>
    </row>
    <row r="399" spans="2:12" ht="12.75" outlineLevel="1">
      <c r="B399" s="444"/>
      <c r="C399" s="444"/>
      <c r="D399" s="68"/>
      <c r="E399" s="442"/>
      <c r="F399" s="442"/>
      <c r="G399" s="442"/>
      <c r="H399" s="442"/>
      <c r="I399" s="442"/>
      <c r="J399" s="442"/>
      <c r="K399" s="442"/>
      <c r="L399" s="442"/>
    </row>
    <row r="400" spans="2:12" ht="12.75" outlineLevel="1">
      <c r="B400" s="444"/>
      <c r="C400" s="445"/>
      <c r="D400" s="68"/>
      <c r="E400" s="442"/>
      <c r="F400" s="442"/>
      <c r="G400" s="442"/>
      <c r="H400" s="442"/>
      <c r="I400" s="442"/>
      <c r="J400" s="442"/>
      <c r="K400" s="442"/>
      <c r="L400" s="442"/>
    </row>
    <row r="401" spans="2:12" ht="12.75" outlineLevel="1">
      <c r="B401" s="445" t="s">
        <v>256</v>
      </c>
      <c r="C401" s="444"/>
      <c r="D401" s="68"/>
      <c r="E401" s="442"/>
      <c r="F401" s="442"/>
      <c r="G401" s="442"/>
      <c r="H401" s="442"/>
      <c r="I401" s="442"/>
      <c r="J401" s="442"/>
      <c r="K401" s="442"/>
      <c r="L401" s="442"/>
    </row>
    <row r="402" spans="2:12" ht="12.75" outlineLevel="1">
      <c r="B402" s="445"/>
      <c r="C402" s="444"/>
      <c r="D402" s="441"/>
      <c r="E402" s="441"/>
      <c r="F402" s="441"/>
      <c r="G402" s="441"/>
      <c r="H402" s="441"/>
      <c r="I402" s="441"/>
      <c r="J402" s="441"/>
      <c r="K402" s="442"/>
      <c r="L402" s="442"/>
    </row>
    <row r="403" spans="2:12" ht="12.75" outlineLevel="1">
      <c r="B403" s="525" t="s">
        <v>129</v>
      </c>
      <c r="C403" s="445" t="s">
        <v>21</v>
      </c>
      <c r="D403" s="527">
        <f>D531</f>
        <v>0.3791892620603586</v>
      </c>
      <c r="E403" s="441"/>
      <c r="F403" s="525"/>
      <c r="G403" s="441"/>
      <c r="H403" s="441"/>
      <c r="I403" s="528"/>
      <c r="J403" s="441"/>
      <c r="K403" s="442"/>
      <c r="L403" s="442"/>
    </row>
    <row r="404" spans="2:12" ht="12.75" outlineLevel="1">
      <c r="B404" s="525" t="s">
        <v>118</v>
      </c>
      <c r="C404" s="444"/>
      <c r="D404" s="468">
        <f>D403*D277</f>
        <v>4.715316071469637</v>
      </c>
      <c r="E404" s="441"/>
      <c r="F404" s="525"/>
      <c r="G404" s="520"/>
      <c r="H404" s="441"/>
      <c r="I404" s="463"/>
      <c r="J404" s="441"/>
      <c r="K404" s="442"/>
      <c r="L404" s="442"/>
    </row>
    <row r="405" spans="2:12" ht="12.75" outlineLevel="1">
      <c r="B405" s="445"/>
      <c r="C405" s="444"/>
      <c r="D405" s="441"/>
      <c r="E405" s="441"/>
      <c r="F405" s="525"/>
      <c r="G405" s="441"/>
      <c r="H405" s="441"/>
      <c r="I405" s="441"/>
      <c r="J405" s="441"/>
      <c r="K405" s="442"/>
      <c r="L405" s="442"/>
    </row>
    <row r="406" spans="2:12" ht="12.75" outlineLevel="1">
      <c r="B406" s="525" t="s">
        <v>128</v>
      </c>
      <c r="C406" s="445" t="s">
        <v>21</v>
      </c>
      <c r="D406" s="527">
        <f>D532</f>
        <v>0.5254883862283182</v>
      </c>
      <c r="E406" s="441"/>
      <c r="F406" s="525"/>
      <c r="G406" s="441"/>
      <c r="H406" s="441"/>
      <c r="I406" s="441"/>
      <c r="J406" s="441"/>
      <c r="K406" s="442"/>
      <c r="L406" s="442"/>
    </row>
    <row r="407" spans="2:12" ht="12.75" outlineLevel="1">
      <c r="B407" s="525" t="s">
        <v>119</v>
      </c>
      <c r="C407" s="444"/>
      <c r="D407" s="468">
        <f>D406*D293</f>
        <v>9.100124026017454</v>
      </c>
      <c r="E407" s="441"/>
      <c r="F407" s="525"/>
      <c r="G407" s="464"/>
      <c r="H407" s="441"/>
      <c r="I407" s="464"/>
      <c r="J407" s="441"/>
      <c r="K407" s="442"/>
      <c r="L407" s="442"/>
    </row>
    <row r="408" spans="2:12" ht="12.75" outlineLevel="1">
      <c r="B408" s="445"/>
      <c r="C408" s="444"/>
      <c r="D408" s="441"/>
      <c r="E408" s="441"/>
      <c r="F408" s="441"/>
      <c r="G408" s="441"/>
      <c r="H408" s="441"/>
      <c r="I408" s="441"/>
      <c r="J408" s="441"/>
      <c r="K408" s="442"/>
      <c r="L408" s="442"/>
    </row>
    <row r="409" spans="2:12" ht="12.75" outlineLevel="1">
      <c r="B409" s="525" t="s">
        <v>127</v>
      </c>
      <c r="C409" s="445" t="s">
        <v>21</v>
      </c>
      <c r="D409" s="527">
        <f>D533</f>
        <v>0.2067843172921028</v>
      </c>
      <c r="E409" s="441"/>
      <c r="F409" s="441"/>
      <c r="G409" s="441"/>
      <c r="H409" s="441"/>
      <c r="I409" s="441"/>
      <c r="J409" s="441"/>
      <c r="K409" s="442"/>
      <c r="L409" s="442"/>
    </row>
    <row r="410" spans="2:12" ht="12.75" outlineLevel="1">
      <c r="B410" s="525" t="s">
        <v>120</v>
      </c>
      <c r="C410" s="444"/>
      <c r="D410" s="468">
        <f>D409*D308</f>
        <v>2.731673607536341</v>
      </c>
      <c r="E410" s="441"/>
      <c r="F410" s="464"/>
      <c r="G410" s="464"/>
      <c r="H410" s="441"/>
      <c r="I410" s="464"/>
      <c r="J410" s="441"/>
      <c r="K410" s="442"/>
      <c r="L410" s="442"/>
    </row>
    <row r="411" spans="2:12" ht="12.75" outlineLevel="1">
      <c r="B411" s="445"/>
      <c r="C411" s="444"/>
      <c r="D411" s="441"/>
      <c r="E411" s="441"/>
      <c r="F411" s="441"/>
      <c r="G411" s="441"/>
      <c r="H411" s="441"/>
      <c r="I411" s="441"/>
      <c r="J411" s="441"/>
      <c r="K411" s="442"/>
      <c r="L411" s="442"/>
    </row>
    <row r="412" spans="2:12" ht="12.75" outlineLevel="1">
      <c r="B412" s="525" t="s">
        <v>126</v>
      </c>
      <c r="C412" s="445" t="s">
        <v>21</v>
      </c>
      <c r="D412" s="527">
        <f>D534</f>
        <v>0.15641953899022026</v>
      </c>
      <c r="E412" s="441"/>
      <c r="F412" s="441"/>
      <c r="G412" s="441"/>
      <c r="H412" s="441"/>
      <c r="I412" s="441"/>
      <c r="J412" s="441"/>
      <c r="K412" s="442"/>
      <c r="L412" s="442"/>
    </row>
    <row r="413" spans="2:12" ht="12.75" outlineLevel="1">
      <c r="B413" s="525" t="s">
        <v>121</v>
      </c>
      <c r="C413" s="444"/>
      <c r="D413" s="468">
        <f>D412*D315</f>
        <v>1.92069590170002</v>
      </c>
      <c r="E413" s="441"/>
      <c r="F413" s="464"/>
      <c r="G413" s="464"/>
      <c r="H413" s="441"/>
      <c r="I413" s="464"/>
      <c r="J413" s="441"/>
      <c r="K413" s="442"/>
      <c r="L413" s="442"/>
    </row>
    <row r="414" spans="2:12" ht="12.75" outlineLevel="1">
      <c r="B414" s="445"/>
      <c r="C414" s="444"/>
      <c r="D414" s="441"/>
      <c r="E414" s="441"/>
      <c r="F414" s="441"/>
      <c r="G414" s="441"/>
      <c r="H414" s="441"/>
      <c r="I414" s="441"/>
      <c r="J414" s="441"/>
      <c r="K414" s="442"/>
      <c r="L414" s="442"/>
    </row>
    <row r="415" spans="2:12" ht="12.75" outlineLevel="1">
      <c r="B415" s="525" t="s">
        <v>125</v>
      </c>
      <c r="C415" s="445" t="s">
        <v>21</v>
      </c>
      <c r="D415" s="527">
        <f>D535</f>
        <v>0.439209409515668</v>
      </c>
      <c r="E415" s="441"/>
      <c r="F415" s="441"/>
      <c r="G415" s="441"/>
      <c r="H415" s="441"/>
      <c r="I415" s="441"/>
      <c r="J415" s="441"/>
      <c r="K415" s="442"/>
      <c r="L415" s="442"/>
    </row>
    <row r="416" spans="2:12" ht="12.75" outlineLevel="1">
      <c r="B416" s="525" t="s">
        <v>122</v>
      </c>
      <c r="C416" s="444"/>
      <c r="D416" s="468">
        <f>D415*D322</f>
        <v>8.402733975126482</v>
      </c>
      <c r="E416" s="441"/>
      <c r="F416" s="464"/>
      <c r="G416" s="464"/>
      <c r="H416" s="441"/>
      <c r="I416" s="464"/>
      <c r="J416" s="441"/>
      <c r="K416" s="442"/>
      <c r="L416" s="442"/>
    </row>
    <row r="417" spans="2:12" ht="12.75" outlineLevel="1">
      <c r="B417" s="444" t="s">
        <v>275</v>
      </c>
      <c r="C417" s="444"/>
      <c r="D417" s="441"/>
      <c r="E417" s="441"/>
      <c r="F417" s="441"/>
      <c r="G417" s="441"/>
      <c r="H417" s="441"/>
      <c r="I417" s="441"/>
      <c r="J417" s="441"/>
      <c r="K417" s="442"/>
      <c r="L417" s="442"/>
    </row>
    <row r="418" spans="2:12" ht="12.75">
      <c r="B418" s="444"/>
      <c r="C418" s="444"/>
      <c r="E418" s="442"/>
      <c r="F418" s="442"/>
      <c r="G418" s="442"/>
      <c r="H418" s="442"/>
      <c r="I418" s="442"/>
      <c r="J418" s="442"/>
      <c r="K418" s="442"/>
      <c r="L418" s="442"/>
    </row>
    <row r="419" spans="2:12" s="65" customFormat="1" ht="12.75">
      <c r="B419" s="64" t="s">
        <v>5</v>
      </c>
      <c r="C419" s="64"/>
      <c r="E419" s="462"/>
      <c r="F419" s="462"/>
      <c r="G419" s="462"/>
      <c r="H419" s="462"/>
      <c r="I419" s="462"/>
      <c r="J419" s="462"/>
      <c r="K419" s="462"/>
      <c r="L419" s="462"/>
    </row>
    <row r="420" spans="2:12" ht="12.75">
      <c r="B420" s="444"/>
      <c r="C420" s="444"/>
      <c r="E420" s="442"/>
      <c r="F420" s="442"/>
      <c r="G420" s="442"/>
      <c r="H420" s="442"/>
      <c r="I420" s="442"/>
      <c r="J420" s="442"/>
      <c r="K420" s="442"/>
      <c r="L420" s="442"/>
    </row>
    <row r="421" spans="2:12" ht="12.75">
      <c r="B421" s="455"/>
      <c r="C421" s="444"/>
      <c r="E421" s="442"/>
      <c r="F421" s="442"/>
      <c r="G421" s="442"/>
      <c r="H421" s="442"/>
      <c r="I421" s="442"/>
      <c r="J421" s="442"/>
      <c r="K421" s="442"/>
      <c r="L421" s="442"/>
    </row>
    <row r="422" spans="2:12" ht="12.75">
      <c r="B422" s="522" t="s">
        <v>137</v>
      </c>
      <c r="C422" s="444"/>
      <c r="E422" s="442"/>
      <c r="F422" s="442"/>
      <c r="G422" s="442"/>
      <c r="H422" s="442"/>
      <c r="I422" s="442"/>
      <c r="J422" s="442"/>
      <c r="K422" s="442"/>
      <c r="L422" s="442"/>
    </row>
    <row r="423" spans="2:12" ht="12.75">
      <c r="B423" s="444"/>
      <c r="C423" s="444"/>
      <c r="E423" s="442"/>
      <c r="F423" s="442"/>
      <c r="G423" s="442"/>
      <c r="H423" s="442"/>
      <c r="I423" s="442"/>
      <c r="J423" s="442"/>
      <c r="K423" s="442"/>
      <c r="L423" s="442"/>
    </row>
    <row r="424" spans="2:12" ht="12.75">
      <c r="B424" s="448" t="s">
        <v>229</v>
      </c>
      <c r="C424" s="444"/>
      <c r="E424" s="442"/>
      <c r="F424" s="442"/>
      <c r="G424" s="442"/>
      <c r="H424" s="442"/>
      <c r="I424" s="442"/>
      <c r="J424" s="442"/>
      <c r="K424" s="442"/>
      <c r="L424" s="442"/>
    </row>
    <row r="425" spans="2:12" ht="12.75">
      <c r="B425" s="447" t="s">
        <v>230</v>
      </c>
      <c r="C425" s="444" t="s">
        <v>45</v>
      </c>
      <c r="D425" s="523">
        <f>D259*SUM(Rekenvol!E137:L137)</f>
        <v>5520</v>
      </c>
      <c r="E425" s="465"/>
      <c r="F425" s="465"/>
      <c r="G425" s="465"/>
      <c r="H425" s="465"/>
      <c r="I425" s="465"/>
      <c r="J425" s="465"/>
      <c r="K425" s="465"/>
      <c r="L425" s="465"/>
    </row>
    <row r="426" spans="2:12" ht="12.75">
      <c r="B426" s="447"/>
      <c r="C426" s="444"/>
      <c r="D426" s="465"/>
      <c r="E426" s="465"/>
      <c r="F426" s="465"/>
      <c r="G426" s="465"/>
      <c r="H426" s="465"/>
      <c r="I426" s="465"/>
      <c r="J426" s="465"/>
      <c r="K426" s="465"/>
      <c r="L426" s="465"/>
    </row>
    <row r="427" spans="2:12" ht="12.75">
      <c r="B427" s="447" t="s">
        <v>231</v>
      </c>
      <c r="C427" s="444" t="s">
        <v>45</v>
      </c>
      <c r="D427" s="523">
        <f>D261*SUM(Rekenvol!E139:L139)</f>
        <v>15.323322160637073</v>
      </c>
      <c r="E427" s="465"/>
      <c r="F427" s="465"/>
      <c r="G427" s="465"/>
      <c r="H427" s="465"/>
      <c r="I427" s="465"/>
      <c r="J427" s="465"/>
      <c r="K427" s="465"/>
      <c r="L427" s="465"/>
    </row>
    <row r="428" spans="2:12" ht="12.75">
      <c r="B428" s="447" t="s">
        <v>232</v>
      </c>
      <c r="C428" s="444" t="s">
        <v>45</v>
      </c>
      <c r="D428" s="523">
        <f>D262*SUM(Rekenvol!E140:L140)</f>
        <v>1.47652856068818</v>
      </c>
      <c r="E428" s="465"/>
      <c r="F428" s="465"/>
      <c r="G428" s="465"/>
      <c r="H428" s="465"/>
      <c r="I428" s="465"/>
      <c r="J428" s="465"/>
      <c r="K428" s="465"/>
      <c r="L428" s="465"/>
    </row>
    <row r="429" spans="2:12" ht="12.75">
      <c r="B429" s="447"/>
      <c r="C429" s="444"/>
      <c r="D429" s="465"/>
      <c r="E429" s="465"/>
      <c r="F429" s="465"/>
      <c r="G429" s="465"/>
      <c r="H429" s="465"/>
      <c r="I429" s="465"/>
      <c r="J429" s="465"/>
      <c r="K429" s="465"/>
      <c r="L429" s="465"/>
    </row>
    <row r="430" spans="2:12" ht="12.75">
      <c r="B430" s="447" t="s">
        <v>234</v>
      </c>
      <c r="C430" s="444" t="s">
        <v>45</v>
      </c>
      <c r="D430" s="523">
        <f>D264*SUM(Rekenvol!E142:L142)</f>
        <v>0</v>
      </c>
      <c r="E430" s="465"/>
      <c r="F430" s="465"/>
      <c r="G430" s="465"/>
      <c r="H430" s="465"/>
      <c r="I430" s="465"/>
      <c r="J430" s="465"/>
      <c r="K430" s="465"/>
      <c r="L430" s="465"/>
    </row>
    <row r="431" spans="2:12" ht="12.75">
      <c r="B431" s="447" t="s">
        <v>275</v>
      </c>
      <c r="C431" s="450"/>
      <c r="D431" s="465"/>
      <c r="E431" s="465"/>
      <c r="F431" s="465"/>
      <c r="G431" s="465"/>
      <c r="H431" s="465"/>
      <c r="I431" s="465"/>
      <c r="J431" s="465"/>
      <c r="K431" s="465"/>
      <c r="L431" s="465"/>
    </row>
    <row r="432" spans="2:12" ht="12.75">
      <c r="B432" s="448" t="s">
        <v>235</v>
      </c>
      <c r="C432" s="450"/>
      <c r="D432" s="465"/>
      <c r="E432" s="465"/>
      <c r="F432" s="465"/>
      <c r="G432" s="465"/>
      <c r="H432" s="465"/>
      <c r="I432" s="465"/>
      <c r="J432" s="465"/>
      <c r="K432" s="465"/>
      <c r="L432" s="465"/>
    </row>
    <row r="433" spans="2:12" ht="12.75">
      <c r="B433" s="447" t="s">
        <v>230</v>
      </c>
      <c r="C433" s="444" t="s">
        <v>45</v>
      </c>
      <c r="D433" s="523">
        <f>D267*SUM(Rekenvol!E145:L145)</f>
        <v>2760</v>
      </c>
      <c r="E433" s="465"/>
      <c r="F433" s="465"/>
      <c r="G433" s="465"/>
      <c r="H433" s="465"/>
      <c r="I433" s="465"/>
      <c r="J433" s="465"/>
      <c r="K433" s="465"/>
      <c r="L433" s="465"/>
    </row>
    <row r="434" spans="2:12" ht="12.75">
      <c r="B434" s="447"/>
      <c r="C434" s="444"/>
      <c r="D434" s="465"/>
      <c r="E434" s="465"/>
      <c r="F434" s="465"/>
      <c r="G434" s="465"/>
      <c r="H434" s="465"/>
      <c r="I434" s="465"/>
      <c r="J434" s="465"/>
      <c r="K434" s="465"/>
      <c r="L434" s="465"/>
    </row>
    <row r="435" spans="2:12" ht="12.75">
      <c r="B435" s="447" t="s">
        <v>231</v>
      </c>
      <c r="C435" s="444" t="s">
        <v>45</v>
      </c>
      <c r="D435" s="523">
        <f>D269*SUM(Rekenvol!E147:L147)</f>
        <v>4.253915318187031</v>
      </c>
      <c r="E435" s="465"/>
      <c r="F435" s="465"/>
      <c r="G435" s="465"/>
      <c r="H435" s="465"/>
      <c r="I435" s="465"/>
      <c r="J435" s="465"/>
      <c r="K435" s="465"/>
      <c r="L435" s="465"/>
    </row>
    <row r="436" spans="2:12" ht="12.75">
      <c r="B436" s="447" t="s">
        <v>236</v>
      </c>
      <c r="C436" s="444" t="s">
        <v>45</v>
      </c>
      <c r="D436" s="523">
        <f>D270*SUM(Rekenvol!E148:L148)</f>
        <v>0.2895857845714176</v>
      </c>
      <c r="E436" s="465"/>
      <c r="F436" s="465"/>
      <c r="G436" s="465"/>
      <c r="H436" s="465"/>
      <c r="I436" s="465"/>
      <c r="J436" s="465"/>
      <c r="K436" s="465"/>
      <c r="L436" s="465"/>
    </row>
    <row r="437" spans="2:12" ht="12.75">
      <c r="B437" s="447"/>
      <c r="C437" s="444"/>
      <c r="D437" s="465"/>
      <c r="E437" s="465"/>
      <c r="F437" s="465"/>
      <c r="G437" s="465"/>
      <c r="H437" s="465"/>
      <c r="I437" s="465"/>
      <c r="J437" s="465"/>
      <c r="K437" s="465"/>
      <c r="L437" s="465"/>
    </row>
    <row r="438" spans="2:12" ht="12.75">
      <c r="B438" s="447" t="s">
        <v>234</v>
      </c>
      <c r="C438" s="444" t="s">
        <v>45</v>
      </c>
      <c r="D438" s="523">
        <f>D272*SUM(Rekenvol!E150:L150)</f>
        <v>0.005991430025615537</v>
      </c>
      <c r="E438" s="465"/>
      <c r="F438" s="465"/>
      <c r="G438" s="465"/>
      <c r="H438" s="465"/>
      <c r="I438" s="465"/>
      <c r="J438" s="465"/>
      <c r="K438" s="465"/>
      <c r="L438" s="465"/>
    </row>
    <row r="439" spans="2:12" ht="12.75">
      <c r="B439" s="447" t="s">
        <v>275</v>
      </c>
      <c r="C439" s="450"/>
      <c r="D439" s="465"/>
      <c r="E439" s="465"/>
      <c r="F439" s="465"/>
      <c r="G439" s="465"/>
      <c r="H439" s="465"/>
      <c r="I439" s="465"/>
      <c r="J439" s="465"/>
      <c r="K439" s="465"/>
      <c r="L439" s="465"/>
    </row>
    <row r="440" spans="2:12" ht="12.75">
      <c r="B440" s="448" t="s">
        <v>237</v>
      </c>
      <c r="C440" s="450"/>
      <c r="D440" s="465"/>
      <c r="E440" s="465"/>
      <c r="F440" s="465"/>
      <c r="G440" s="465"/>
      <c r="H440" s="465"/>
      <c r="I440" s="465"/>
      <c r="J440" s="465"/>
      <c r="K440" s="465"/>
      <c r="L440" s="465"/>
    </row>
    <row r="441" spans="2:12" ht="12.75">
      <c r="B441" s="447" t="s">
        <v>230</v>
      </c>
      <c r="C441" s="444" t="s">
        <v>45</v>
      </c>
      <c r="D441" s="523">
        <f>D275*SUM(Rekenvol!E153:L153)</f>
        <v>8280</v>
      </c>
      <c r="E441" s="465"/>
      <c r="F441" s="465"/>
      <c r="G441" s="465"/>
      <c r="H441" s="465"/>
      <c r="I441" s="465"/>
      <c r="J441" s="465"/>
      <c r="K441" s="465"/>
      <c r="L441" s="465"/>
    </row>
    <row r="442" spans="2:12" ht="12.75">
      <c r="B442" s="447"/>
      <c r="C442" s="444"/>
      <c r="D442" s="465"/>
      <c r="E442" s="465"/>
      <c r="F442" s="465"/>
      <c r="G442" s="465"/>
      <c r="H442" s="465"/>
      <c r="I442" s="465"/>
      <c r="J442" s="465"/>
      <c r="K442" s="465"/>
      <c r="L442" s="465"/>
    </row>
    <row r="443" spans="2:12" ht="12.75">
      <c r="B443" s="447" t="s">
        <v>231</v>
      </c>
      <c r="C443" s="444" t="s">
        <v>45</v>
      </c>
      <c r="D443" s="523">
        <f>D277*SUM(Rekenvol!E155:L155)</f>
        <v>37.30577215595622</v>
      </c>
      <c r="E443" s="465"/>
      <c r="F443" s="465"/>
      <c r="G443" s="465"/>
      <c r="H443" s="465"/>
      <c r="I443" s="465"/>
      <c r="J443" s="465"/>
      <c r="K443" s="465"/>
      <c r="L443" s="465"/>
    </row>
    <row r="444" spans="2:12" ht="12.75">
      <c r="B444" s="447" t="s">
        <v>232</v>
      </c>
      <c r="C444" s="444" t="s">
        <v>45</v>
      </c>
      <c r="D444" s="523">
        <f>D278*SUM(Rekenvol!E156:L156)</f>
        <v>3.211866938878661</v>
      </c>
      <c r="E444" s="465"/>
      <c r="F444" s="465"/>
      <c r="G444" s="465"/>
      <c r="H444" s="465"/>
      <c r="I444" s="465"/>
      <c r="J444" s="465"/>
      <c r="K444" s="465"/>
      <c r="L444" s="465"/>
    </row>
    <row r="445" spans="2:12" ht="12.75">
      <c r="B445" s="447"/>
      <c r="C445" s="444"/>
      <c r="D445" s="465"/>
      <c r="E445" s="465"/>
      <c r="F445" s="465"/>
      <c r="G445" s="465"/>
      <c r="H445" s="465"/>
      <c r="I445" s="465"/>
      <c r="J445" s="465"/>
      <c r="K445" s="465"/>
      <c r="L445" s="465"/>
    </row>
    <row r="446" spans="2:12" ht="12.75">
      <c r="B446" s="447" t="s">
        <v>234</v>
      </c>
      <c r="C446" s="444" t="s">
        <v>45</v>
      </c>
      <c r="D446" s="523">
        <f>D280*SUM(Rekenvol!E158:L158)</f>
        <v>0.005991430025615537</v>
      </c>
      <c r="E446" s="465"/>
      <c r="F446" s="465"/>
      <c r="G446" s="465"/>
      <c r="H446" s="465"/>
      <c r="I446" s="465"/>
      <c r="J446" s="465"/>
      <c r="K446" s="465"/>
      <c r="L446" s="465"/>
    </row>
    <row r="447" spans="2:12" ht="12.75">
      <c r="B447" s="447" t="s">
        <v>275</v>
      </c>
      <c r="C447" s="450"/>
      <c r="D447" s="465"/>
      <c r="E447" s="465"/>
      <c r="F447" s="465"/>
      <c r="G447" s="465"/>
      <c r="H447" s="465"/>
      <c r="I447" s="465"/>
      <c r="J447" s="465"/>
      <c r="K447" s="465"/>
      <c r="L447" s="465"/>
    </row>
    <row r="448" spans="2:12" ht="12.75">
      <c r="B448" s="448" t="s">
        <v>238</v>
      </c>
      <c r="C448" s="450"/>
      <c r="D448" s="465"/>
      <c r="E448" s="465"/>
      <c r="F448" s="465"/>
      <c r="G448" s="465"/>
      <c r="H448" s="465"/>
      <c r="I448" s="465"/>
      <c r="J448" s="465"/>
      <c r="K448" s="465"/>
      <c r="L448" s="465"/>
    </row>
    <row r="449" spans="2:12" ht="12.75">
      <c r="B449" s="447" t="s">
        <v>230</v>
      </c>
      <c r="C449" s="444" t="s">
        <v>45</v>
      </c>
      <c r="D449" s="523">
        <f>D283*SUM(Rekenvol!E161:L161)</f>
        <v>5520</v>
      </c>
      <c r="E449" s="465"/>
      <c r="F449" s="465"/>
      <c r="G449" s="465"/>
      <c r="H449" s="465"/>
      <c r="I449" s="465"/>
      <c r="J449" s="465"/>
      <c r="K449" s="465"/>
      <c r="L449" s="465"/>
    </row>
    <row r="450" spans="2:12" ht="12.75">
      <c r="B450" s="447"/>
      <c r="C450" s="444"/>
      <c r="D450" s="465"/>
      <c r="E450" s="465"/>
      <c r="F450" s="465"/>
      <c r="G450" s="465"/>
      <c r="H450" s="465"/>
      <c r="I450" s="465"/>
      <c r="J450" s="465"/>
      <c r="K450" s="465"/>
      <c r="L450" s="465"/>
    </row>
    <row r="451" spans="2:12" ht="12.75">
      <c r="B451" s="447" t="s">
        <v>231</v>
      </c>
      <c r="C451" s="444" t="s">
        <v>45</v>
      </c>
      <c r="D451" s="523">
        <f>D285*SUM(Rekenvol!E163:L163)</f>
        <v>15.678929355611189</v>
      </c>
      <c r="E451" s="465"/>
      <c r="F451" s="465"/>
      <c r="G451" s="465"/>
      <c r="H451" s="465"/>
      <c r="I451" s="465"/>
      <c r="J451" s="465"/>
      <c r="K451" s="465"/>
      <c r="L451" s="465"/>
    </row>
    <row r="452" spans="2:12" ht="12.75">
      <c r="B452" s="447" t="s">
        <v>236</v>
      </c>
      <c r="C452" s="444" t="s">
        <v>45</v>
      </c>
      <c r="D452" s="523">
        <f>D286*SUM(Rekenvol!E164:L164)</f>
        <v>1.1072078771415539</v>
      </c>
      <c r="E452" s="465"/>
      <c r="F452" s="465"/>
      <c r="G452" s="465"/>
      <c r="H452" s="465"/>
      <c r="I452" s="465"/>
      <c r="J452" s="465"/>
      <c r="K452" s="465"/>
      <c r="L452" s="465"/>
    </row>
    <row r="453" spans="2:12" ht="12.75">
      <c r="B453" s="447"/>
      <c r="C453" s="444"/>
      <c r="D453" s="465"/>
      <c r="E453" s="465"/>
      <c r="F453" s="465"/>
      <c r="G453" s="465"/>
      <c r="H453" s="465"/>
      <c r="I453" s="465"/>
      <c r="J453" s="465"/>
      <c r="K453" s="465"/>
      <c r="L453" s="465"/>
    </row>
    <row r="454" spans="2:12" ht="12.75">
      <c r="B454" s="447" t="s">
        <v>234</v>
      </c>
      <c r="C454" s="444" t="s">
        <v>45</v>
      </c>
      <c r="D454" s="523">
        <f>D288*SUM(Rekenvol!E166:L166)</f>
        <v>0.005991430025615537</v>
      </c>
      <c r="E454" s="465"/>
      <c r="F454" s="465"/>
      <c r="G454" s="465"/>
      <c r="H454" s="465"/>
      <c r="I454" s="465"/>
      <c r="J454" s="465"/>
      <c r="K454" s="465"/>
      <c r="L454" s="465"/>
    </row>
    <row r="455" spans="2:12" ht="12.75">
      <c r="B455" s="447" t="s">
        <v>275</v>
      </c>
      <c r="C455" s="450"/>
      <c r="D455" s="465"/>
      <c r="E455" s="465"/>
      <c r="F455" s="465"/>
      <c r="G455" s="465"/>
      <c r="H455" s="465"/>
      <c r="I455" s="465"/>
      <c r="J455" s="465"/>
      <c r="K455" s="465"/>
      <c r="L455" s="465"/>
    </row>
    <row r="456" spans="2:12" ht="12.75">
      <c r="B456" s="448" t="s">
        <v>239</v>
      </c>
      <c r="C456" s="450"/>
      <c r="D456" s="465"/>
      <c r="E456" s="465"/>
      <c r="F456" s="465"/>
      <c r="G456" s="465"/>
      <c r="H456" s="465"/>
      <c r="I456" s="465"/>
      <c r="J456" s="465"/>
      <c r="K456" s="465"/>
      <c r="L456" s="465"/>
    </row>
    <row r="457" spans="2:12" ht="12.75">
      <c r="B457" s="447" t="s">
        <v>230</v>
      </c>
      <c r="C457" s="444" t="s">
        <v>45</v>
      </c>
      <c r="D457" s="523">
        <f>D291*SUM(Rekenvol!E169:L169)</f>
        <v>16954.209174697404</v>
      </c>
      <c r="E457" s="465"/>
      <c r="F457" s="465"/>
      <c r="G457" s="465"/>
      <c r="H457" s="465"/>
      <c r="I457" s="465"/>
      <c r="J457" s="465"/>
      <c r="K457" s="465"/>
      <c r="L457" s="465"/>
    </row>
    <row r="458" spans="2:12" ht="12.75">
      <c r="B458" s="447"/>
      <c r="C458" s="444"/>
      <c r="D458" s="465"/>
      <c r="E458" s="465"/>
      <c r="F458" s="465"/>
      <c r="G458" s="465"/>
      <c r="H458" s="465"/>
      <c r="I458" s="465"/>
      <c r="J458" s="465"/>
      <c r="K458" s="465"/>
      <c r="L458" s="465"/>
    </row>
    <row r="459" spans="2:12" ht="12.75">
      <c r="B459" s="447" t="s">
        <v>231</v>
      </c>
      <c r="C459" s="444" t="s">
        <v>45</v>
      </c>
      <c r="D459" s="523">
        <f>D293*SUM(Rekenvol!E171:L171)</f>
        <v>103.90475905281258</v>
      </c>
      <c r="E459" s="465"/>
      <c r="F459" s="465"/>
      <c r="G459" s="465"/>
      <c r="H459" s="465"/>
      <c r="I459" s="465"/>
      <c r="J459" s="465"/>
      <c r="K459" s="465"/>
      <c r="L459" s="465"/>
    </row>
    <row r="460" spans="2:12" ht="12.75">
      <c r="B460" s="447" t="s">
        <v>232</v>
      </c>
      <c r="C460" s="444" t="s">
        <v>45</v>
      </c>
      <c r="D460" s="523">
        <f>D294*SUM(Rekenvol!E172:L172)</f>
        <v>10.268800415760396</v>
      </c>
      <c r="E460" s="465"/>
      <c r="F460" s="465"/>
      <c r="G460" s="465"/>
      <c r="H460" s="465"/>
      <c r="I460" s="465"/>
      <c r="J460" s="465"/>
      <c r="K460" s="465"/>
      <c r="L460" s="465"/>
    </row>
    <row r="461" spans="2:12" ht="12.75">
      <c r="B461" s="447"/>
      <c r="C461" s="444"/>
      <c r="D461" s="465"/>
      <c r="E461" s="465"/>
      <c r="F461" s="465"/>
      <c r="G461" s="465"/>
      <c r="H461" s="465"/>
      <c r="I461" s="465"/>
      <c r="J461" s="465"/>
      <c r="K461" s="465"/>
      <c r="L461" s="465"/>
    </row>
    <row r="462" spans="2:12" ht="12.75">
      <c r="B462" s="447" t="s">
        <v>234</v>
      </c>
      <c r="C462" s="444" t="s">
        <v>45</v>
      </c>
      <c r="D462" s="523">
        <f>D296*SUM(Rekenvol!E174:L174)</f>
        <v>0.011974149297178983</v>
      </c>
      <c r="E462" s="465"/>
      <c r="F462" s="465"/>
      <c r="G462" s="465"/>
      <c r="H462" s="465"/>
      <c r="I462" s="465"/>
      <c r="J462" s="465"/>
      <c r="K462" s="465"/>
      <c r="L462" s="465"/>
    </row>
    <row r="463" spans="2:12" ht="12.75">
      <c r="B463" s="447" t="s">
        <v>275</v>
      </c>
      <c r="C463" s="450"/>
      <c r="D463" s="465"/>
      <c r="E463" s="465"/>
      <c r="F463" s="465"/>
      <c r="G463" s="465"/>
      <c r="H463" s="465"/>
      <c r="I463" s="465"/>
      <c r="J463" s="465"/>
      <c r="K463" s="465"/>
      <c r="L463" s="465"/>
    </row>
    <row r="464" spans="2:12" ht="12.75">
      <c r="B464" s="448" t="s">
        <v>240</v>
      </c>
      <c r="C464" s="450"/>
      <c r="D464" s="465"/>
      <c r="E464" s="465"/>
      <c r="F464" s="465"/>
      <c r="G464" s="465"/>
      <c r="H464" s="465"/>
      <c r="I464" s="465"/>
      <c r="J464" s="465"/>
      <c r="K464" s="465"/>
      <c r="L464" s="465"/>
    </row>
    <row r="465" spans="2:12" ht="12.75">
      <c r="B465" s="447" t="s">
        <v>230</v>
      </c>
      <c r="C465" s="444" t="s">
        <v>45</v>
      </c>
      <c r="D465" s="523">
        <f>D299*SUM(Rekenvol!E177:L177)</f>
        <v>11040</v>
      </c>
      <c r="E465" s="465"/>
      <c r="F465" s="465"/>
      <c r="G465" s="465"/>
      <c r="H465" s="465"/>
      <c r="I465" s="465"/>
      <c r="J465" s="465"/>
      <c r="K465" s="465"/>
      <c r="L465" s="465"/>
    </row>
    <row r="466" spans="2:12" ht="12.75">
      <c r="B466" s="447"/>
      <c r="C466" s="444"/>
      <c r="D466" s="465"/>
      <c r="E466" s="465"/>
      <c r="F466" s="465"/>
      <c r="G466" s="465"/>
      <c r="H466" s="465"/>
      <c r="I466" s="465"/>
      <c r="J466" s="465"/>
      <c r="K466" s="465"/>
      <c r="L466" s="465"/>
    </row>
    <row r="467" spans="2:12" ht="12.75">
      <c r="B467" s="447" t="s">
        <v>231</v>
      </c>
      <c r="C467" s="444" t="s">
        <v>45</v>
      </c>
      <c r="D467" s="523">
        <f>D301*SUM(Rekenvol!E179:L179)</f>
        <v>33.59159144813562</v>
      </c>
      <c r="E467" s="465"/>
      <c r="F467" s="465"/>
      <c r="G467" s="465"/>
      <c r="H467" s="465"/>
      <c r="I467" s="465"/>
      <c r="J467" s="465"/>
      <c r="K467" s="465"/>
      <c r="L467" s="465"/>
    </row>
    <row r="468" spans="2:12" ht="12.75">
      <c r="B468" s="447" t="s">
        <v>236</v>
      </c>
      <c r="C468" s="444" t="s">
        <v>45</v>
      </c>
      <c r="D468" s="523">
        <f>D302*SUM(Rekenvol!E180:L180)</f>
        <v>2.191045530050279</v>
      </c>
      <c r="E468" s="465"/>
      <c r="F468" s="465"/>
      <c r="G468" s="465"/>
      <c r="H468" s="465"/>
      <c r="I468" s="465"/>
      <c r="J468" s="465"/>
      <c r="K468" s="465"/>
      <c r="L468" s="465"/>
    </row>
    <row r="469" spans="2:12" ht="12.75">
      <c r="B469" s="447"/>
      <c r="C469" s="444"/>
      <c r="D469" s="465"/>
      <c r="E469" s="465"/>
      <c r="F469" s="465"/>
      <c r="G469" s="465"/>
      <c r="H469" s="465"/>
      <c r="I469" s="465"/>
      <c r="J469" s="465"/>
      <c r="K469" s="465"/>
      <c r="L469" s="465"/>
    </row>
    <row r="470" spans="2:12" ht="12.75">
      <c r="B470" s="447" t="s">
        <v>234</v>
      </c>
      <c r="C470" s="444" t="s">
        <v>45</v>
      </c>
      <c r="D470" s="523">
        <f>D304*SUM(Rekenvol!E182:L182)</f>
        <v>0.005982719271563446</v>
      </c>
      <c r="E470" s="465"/>
      <c r="F470" s="465"/>
      <c r="G470" s="465"/>
      <c r="H470" s="465"/>
      <c r="I470" s="465"/>
      <c r="J470" s="465"/>
      <c r="K470" s="465"/>
      <c r="L470" s="465"/>
    </row>
    <row r="471" spans="2:12" ht="12.75">
      <c r="B471" s="447" t="s">
        <v>275</v>
      </c>
      <c r="C471" s="450"/>
      <c r="D471" s="465"/>
      <c r="E471" s="465"/>
      <c r="F471" s="465"/>
      <c r="G471" s="465"/>
      <c r="H471" s="465"/>
      <c r="I471" s="465"/>
      <c r="J471" s="465"/>
      <c r="K471" s="465"/>
      <c r="L471" s="465"/>
    </row>
    <row r="472" spans="2:12" ht="12.75">
      <c r="B472" s="448" t="s">
        <v>241</v>
      </c>
      <c r="C472" s="450"/>
      <c r="D472" s="465"/>
      <c r="E472" s="465"/>
      <c r="F472" s="465"/>
      <c r="G472" s="465"/>
      <c r="H472" s="465"/>
      <c r="I472" s="465"/>
      <c r="J472" s="465"/>
      <c r="K472" s="465"/>
      <c r="L472" s="465"/>
    </row>
    <row r="473" spans="2:12" ht="12.75">
      <c r="B473" s="447" t="s">
        <v>230</v>
      </c>
      <c r="C473" s="450" t="s">
        <v>45</v>
      </c>
      <c r="D473" s="523">
        <f>D307*SUM(Rekenvol!E185:L185)</f>
        <v>1323</v>
      </c>
      <c r="E473" s="465"/>
      <c r="F473" s="465"/>
      <c r="G473" s="465"/>
      <c r="H473" s="465"/>
      <c r="I473" s="465"/>
      <c r="J473" s="465"/>
      <c r="K473" s="465"/>
      <c r="L473" s="465"/>
    </row>
    <row r="474" spans="2:12" ht="12.75">
      <c r="B474" s="447" t="s">
        <v>242</v>
      </c>
      <c r="C474" s="450" t="s">
        <v>45</v>
      </c>
      <c r="D474" s="523">
        <f>D308*SUM(Rekenvol!E186:L186)</f>
        <v>39.63076566891079</v>
      </c>
      <c r="E474" s="465"/>
      <c r="F474" s="465"/>
      <c r="G474" s="465"/>
      <c r="H474" s="465"/>
      <c r="I474" s="465"/>
      <c r="J474" s="465"/>
      <c r="K474" s="465"/>
      <c r="L474" s="465"/>
    </row>
    <row r="475" spans="2:12" ht="12.75">
      <c r="B475" s="447" t="s">
        <v>232</v>
      </c>
      <c r="C475" s="450" t="s">
        <v>45</v>
      </c>
      <c r="D475" s="523">
        <f>D309*SUM(Rekenvol!E187:L187)</f>
        <v>3.705777710448272</v>
      </c>
      <c r="E475" s="465"/>
      <c r="F475" s="465"/>
      <c r="G475" s="465"/>
      <c r="H475" s="465"/>
      <c r="I475" s="465"/>
      <c r="J475" s="465"/>
      <c r="K475" s="465"/>
      <c r="L475" s="465"/>
    </row>
    <row r="476" spans="2:12" ht="12.75">
      <c r="B476" s="447" t="s">
        <v>233</v>
      </c>
      <c r="C476" s="450" t="s">
        <v>45</v>
      </c>
      <c r="D476" s="523">
        <f>D310*SUM(Rekenvol!E188:L188)</f>
        <v>0.01195649957498596</v>
      </c>
      <c r="E476" s="465"/>
      <c r="F476" s="465"/>
      <c r="G476" s="465"/>
      <c r="H476" s="465"/>
      <c r="I476" s="465"/>
      <c r="J476" s="465"/>
      <c r="K476" s="465"/>
      <c r="L476" s="465"/>
    </row>
    <row r="477" spans="2:12" ht="12.75">
      <c r="B477" s="447" t="s">
        <v>234</v>
      </c>
      <c r="C477" s="450" t="s">
        <v>45</v>
      </c>
      <c r="D477" s="523">
        <f>D311*SUM(Rekenvol!E189:L189)</f>
        <v>0.005982719271563446</v>
      </c>
      <c r="E477" s="465"/>
      <c r="F477" s="465"/>
      <c r="G477" s="465"/>
      <c r="H477" s="465"/>
      <c r="I477" s="465"/>
      <c r="J477" s="465"/>
      <c r="K477" s="465"/>
      <c r="L477" s="465"/>
    </row>
    <row r="478" spans="2:12" ht="12.75">
      <c r="B478" s="447" t="s">
        <v>275</v>
      </c>
      <c r="C478" s="450"/>
      <c r="D478" s="465"/>
      <c r="E478" s="465"/>
      <c r="F478" s="465"/>
      <c r="G478" s="465"/>
      <c r="H478" s="465"/>
      <c r="I478" s="465"/>
      <c r="J478" s="465"/>
      <c r="K478" s="465"/>
      <c r="L478" s="465"/>
    </row>
    <row r="479" spans="2:12" ht="12.75">
      <c r="B479" s="448" t="s">
        <v>243</v>
      </c>
      <c r="C479" s="450"/>
      <c r="D479" s="465"/>
      <c r="E479" s="465"/>
      <c r="F479" s="465"/>
      <c r="G479" s="465"/>
      <c r="H479" s="465"/>
      <c r="I479" s="465"/>
      <c r="J479" s="465"/>
      <c r="K479" s="465"/>
      <c r="L479" s="465"/>
    </row>
    <row r="480" spans="2:12" ht="12.75">
      <c r="B480" s="447" t="s">
        <v>230</v>
      </c>
      <c r="C480" s="450" t="s">
        <v>45</v>
      </c>
      <c r="D480" s="523">
        <f>D314*SUM(Rekenvol!E192:L192)</f>
        <v>3528</v>
      </c>
      <c r="E480" s="465"/>
      <c r="F480" s="465"/>
      <c r="G480" s="465"/>
      <c r="H480" s="465"/>
      <c r="I480" s="465"/>
      <c r="J480" s="465"/>
      <c r="K480" s="465"/>
      <c r="L480" s="465"/>
    </row>
    <row r="481" spans="2:12" ht="12.75">
      <c r="B481" s="447" t="s">
        <v>242</v>
      </c>
      <c r="C481" s="450" t="s">
        <v>45</v>
      </c>
      <c r="D481" s="523">
        <f>D315*SUM(Rekenvol!E193:L193)</f>
        <v>98.23304244977255</v>
      </c>
      <c r="E481" s="465"/>
      <c r="F481" s="465"/>
      <c r="G481" s="465"/>
      <c r="H481" s="465"/>
      <c r="I481" s="465"/>
      <c r="J481" s="465"/>
      <c r="K481" s="465"/>
      <c r="L481" s="465"/>
    </row>
    <row r="482" spans="2:12" ht="12.75">
      <c r="B482" s="447" t="s">
        <v>232</v>
      </c>
      <c r="C482" s="450" t="s">
        <v>45</v>
      </c>
      <c r="D482" s="523">
        <f>D316*SUM(Rekenvol!E194:L194)</f>
        <v>10.372670083585732</v>
      </c>
      <c r="E482" s="465"/>
      <c r="F482" s="465"/>
      <c r="G482" s="465"/>
      <c r="H482" s="465"/>
      <c r="I482" s="465"/>
      <c r="J482" s="465"/>
      <c r="K482" s="465"/>
      <c r="L482" s="465"/>
    </row>
    <row r="483" spans="2:12" ht="12.75">
      <c r="B483" s="447" t="s">
        <v>233</v>
      </c>
      <c r="C483" s="450" t="s">
        <v>45</v>
      </c>
      <c r="D483" s="523">
        <f>D317*SUM(Rekenvol!E195:L195)</f>
        <v>0.06471944330166826</v>
      </c>
      <c r="E483" s="465"/>
      <c r="F483" s="465"/>
      <c r="G483" s="465"/>
      <c r="H483" s="465"/>
      <c r="I483" s="465"/>
      <c r="J483" s="465"/>
      <c r="K483" s="465"/>
      <c r="L483" s="465"/>
    </row>
    <row r="484" spans="2:12" ht="12.75">
      <c r="B484" s="447" t="s">
        <v>234</v>
      </c>
      <c r="C484" s="450" t="s">
        <v>45</v>
      </c>
      <c r="D484" s="523">
        <f>D318*SUM(Rekenvol!E196:L196)</f>
        <v>0.03907344556084674</v>
      </c>
      <c r="E484" s="465"/>
      <c r="F484" s="465"/>
      <c r="G484" s="465"/>
      <c r="H484" s="465"/>
      <c r="I484" s="465"/>
      <c r="J484" s="465"/>
      <c r="K484" s="465"/>
      <c r="L484" s="465"/>
    </row>
    <row r="485" spans="2:12" ht="12.75">
      <c r="B485" s="447" t="s">
        <v>275</v>
      </c>
      <c r="C485" s="450"/>
      <c r="D485" s="465"/>
      <c r="E485" s="465"/>
      <c r="F485" s="465"/>
      <c r="G485" s="465"/>
      <c r="H485" s="465"/>
      <c r="I485" s="465"/>
      <c r="J485" s="465"/>
      <c r="K485" s="465"/>
      <c r="L485" s="465"/>
    </row>
    <row r="486" spans="2:12" ht="12.75">
      <c r="B486" s="448" t="s">
        <v>244</v>
      </c>
      <c r="C486" s="450"/>
      <c r="D486" s="465"/>
      <c r="E486" s="465"/>
      <c r="F486" s="465"/>
      <c r="G486" s="465"/>
      <c r="H486" s="465"/>
      <c r="I486" s="465"/>
      <c r="J486" s="465"/>
      <c r="K486" s="465"/>
      <c r="L486" s="465"/>
    </row>
    <row r="487" spans="2:12" ht="12.75">
      <c r="B487" s="447" t="s">
        <v>230</v>
      </c>
      <c r="C487" s="450" t="s">
        <v>45</v>
      </c>
      <c r="D487" s="523">
        <f>D321*SUM(Rekenvol!E199:L199)</f>
        <v>3528</v>
      </c>
      <c r="E487" s="465"/>
      <c r="F487" s="465"/>
      <c r="G487" s="465"/>
      <c r="H487" s="465"/>
      <c r="I487" s="465"/>
      <c r="J487" s="465"/>
      <c r="K487" s="465"/>
      <c r="L487" s="465"/>
    </row>
    <row r="488" spans="2:12" ht="12.75">
      <c r="B488" s="447" t="s">
        <v>242</v>
      </c>
      <c r="C488" s="450" t="s">
        <v>45</v>
      </c>
      <c r="D488" s="523">
        <f>D322*SUM(Rekenvol!E200:L200)</f>
        <v>153.05198464472753</v>
      </c>
      <c r="E488" s="465"/>
      <c r="F488" s="465"/>
      <c r="G488" s="465"/>
      <c r="H488" s="465"/>
      <c r="I488" s="465"/>
      <c r="J488" s="465"/>
      <c r="K488" s="465"/>
      <c r="L488" s="465"/>
    </row>
    <row r="489" spans="2:12" ht="12.75">
      <c r="B489" s="447" t="s">
        <v>232</v>
      </c>
      <c r="C489" s="450" t="s">
        <v>45</v>
      </c>
      <c r="D489" s="523">
        <f>D323*SUM(Rekenvol!E201:L201)</f>
        <v>10.372670083585732</v>
      </c>
      <c r="E489" s="465"/>
      <c r="F489" s="465"/>
      <c r="G489" s="465"/>
      <c r="H489" s="465"/>
      <c r="I489" s="465"/>
      <c r="J489" s="465"/>
      <c r="K489" s="465"/>
      <c r="L489" s="465"/>
    </row>
    <row r="490" spans="2:12" ht="12.75">
      <c r="B490" s="447" t="s">
        <v>233</v>
      </c>
      <c r="C490" s="450" t="s">
        <v>45</v>
      </c>
      <c r="D490" s="523">
        <f>D324*SUM(Rekenvol!E202:L202)</f>
        <v>0.06471944330166826</v>
      </c>
      <c r="E490" s="465"/>
      <c r="F490" s="465"/>
      <c r="G490" s="465"/>
      <c r="H490" s="465"/>
      <c r="I490" s="465"/>
      <c r="J490" s="465"/>
      <c r="K490" s="465"/>
      <c r="L490" s="465"/>
    </row>
    <row r="491" spans="2:12" ht="12.75">
      <c r="B491" s="447" t="s">
        <v>234</v>
      </c>
      <c r="C491" s="450" t="s">
        <v>45</v>
      </c>
      <c r="D491" s="523">
        <f>D325*SUM(Rekenvol!E203:L203)</f>
        <v>0.03907344556084674</v>
      </c>
      <c r="E491" s="465"/>
      <c r="F491" s="465"/>
      <c r="G491" s="465"/>
      <c r="H491" s="465"/>
      <c r="I491" s="465"/>
      <c r="J491" s="465"/>
      <c r="K491" s="465"/>
      <c r="L491" s="465"/>
    </row>
    <row r="492" spans="2:12" ht="12.75">
      <c r="B492" s="447" t="s">
        <v>275</v>
      </c>
      <c r="C492" s="450"/>
      <c r="D492" s="465"/>
      <c r="E492" s="465"/>
      <c r="F492" s="465"/>
      <c r="G492" s="465"/>
      <c r="H492" s="465"/>
      <c r="I492" s="465"/>
      <c r="J492" s="465"/>
      <c r="K492" s="465"/>
      <c r="L492" s="465"/>
    </row>
    <row r="493" spans="3:12" ht="12.75">
      <c r="C493" s="450"/>
      <c r="E493" s="442"/>
      <c r="F493" s="442"/>
      <c r="G493" s="442"/>
      <c r="H493" s="442"/>
      <c r="I493" s="442"/>
      <c r="J493" s="442"/>
      <c r="K493" s="442"/>
      <c r="L493" s="442"/>
    </row>
    <row r="494" spans="2:12" ht="12.75">
      <c r="B494" s="522" t="s">
        <v>138</v>
      </c>
      <c r="C494" s="450"/>
      <c r="E494" s="442"/>
      <c r="F494" s="442"/>
      <c r="G494" s="442"/>
      <c r="H494" s="442"/>
      <c r="I494" s="442"/>
      <c r="J494" s="442"/>
      <c r="K494" s="442"/>
      <c r="L494" s="442"/>
    </row>
    <row r="495" spans="2:12" ht="12.75">
      <c r="B495" s="456"/>
      <c r="C495" s="450"/>
      <c r="E495" s="442"/>
      <c r="F495" s="442"/>
      <c r="G495" s="466"/>
      <c r="H495" s="442"/>
      <c r="I495" s="442"/>
      <c r="J495" s="442"/>
      <c r="K495" s="442"/>
      <c r="L495" s="442"/>
    </row>
    <row r="496" spans="2:12" ht="12.75">
      <c r="B496" s="447" t="s">
        <v>117</v>
      </c>
      <c r="C496" s="450" t="s">
        <v>45</v>
      </c>
      <c r="D496" s="523">
        <f>SUM(D427,D428,D430,D435,D436,D438)</f>
        <v>21.349343254109318</v>
      </c>
      <c r="E496" s="465"/>
      <c r="F496" s="442"/>
      <c r="G496" s="442"/>
      <c r="H496" s="442"/>
      <c r="I496" s="442"/>
      <c r="J496" s="442"/>
      <c r="K496" s="442"/>
      <c r="L496" s="442"/>
    </row>
    <row r="497" spans="2:12" ht="12.75">
      <c r="B497" s="447" t="s">
        <v>141</v>
      </c>
      <c r="C497" s="450" t="s">
        <v>45</v>
      </c>
      <c r="D497" s="523">
        <f>SUM(D443,D444,D446,D451,D452,D454)</f>
        <v>57.31575918763886</v>
      </c>
      <c r="E497" s="465"/>
      <c r="F497" s="442"/>
      <c r="G497" s="442"/>
      <c r="H497" s="442"/>
      <c r="I497" s="442"/>
      <c r="J497" s="442"/>
      <c r="K497" s="442"/>
      <c r="L497" s="442"/>
    </row>
    <row r="498" spans="2:12" ht="12.75">
      <c r="B498" s="447" t="s">
        <v>142</v>
      </c>
      <c r="C498" s="450" t="s">
        <v>45</v>
      </c>
      <c r="D498" s="523">
        <f>SUM(D459,D460,D462,D467,D468,D470)</f>
        <v>149.9741533153276</v>
      </c>
      <c r="E498" s="465"/>
      <c r="F498" s="442"/>
      <c r="G498" s="442"/>
      <c r="H498" s="442"/>
      <c r="I498" s="442"/>
      <c r="J498" s="442"/>
      <c r="K498" s="442"/>
      <c r="L498" s="442"/>
    </row>
    <row r="499" spans="2:12" ht="12.75">
      <c r="B499" s="447" t="s">
        <v>241</v>
      </c>
      <c r="C499" s="450" t="s">
        <v>45</v>
      </c>
      <c r="D499" s="523">
        <f>SUM(D474:D477)</f>
        <v>43.354482598205614</v>
      </c>
      <c r="E499" s="465"/>
      <c r="F499" s="442"/>
      <c r="G499" s="442"/>
      <c r="H499" s="442"/>
      <c r="I499" s="442"/>
      <c r="J499" s="442"/>
      <c r="K499" s="442"/>
      <c r="L499" s="442"/>
    </row>
    <row r="500" spans="2:12" ht="12.75">
      <c r="B500" s="447" t="s">
        <v>243</v>
      </c>
      <c r="C500" s="450" t="s">
        <v>45</v>
      </c>
      <c r="D500" s="523">
        <f>SUM(D481:D484)</f>
        <v>108.7095054222208</v>
      </c>
      <c r="E500" s="465"/>
      <c r="F500" s="442"/>
      <c r="G500" s="442"/>
      <c r="H500" s="442"/>
      <c r="I500" s="442"/>
      <c r="J500" s="442"/>
      <c r="K500" s="442"/>
      <c r="L500" s="442"/>
    </row>
    <row r="501" spans="2:12" ht="12.75">
      <c r="B501" s="447" t="s">
        <v>244</v>
      </c>
      <c r="C501" s="450" t="s">
        <v>45</v>
      </c>
      <c r="D501" s="523">
        <f>SUM(D488:D491)</f>
        <v>163.5284476171758</v>
      </c>
      <c r="E501" s="465"/>
      <c r="F501" s="442"/>
      <c r="G501" s="442"/>
      <c r="H501" s="442"/>
      <c r="I501" s="442"/>
      <c r="J501" s="442"/>
      <c r="K501" s="442"/>
      <c r="L501" s="442"/>
    </row>
    <row r="502" spans="3:12" ht="12.75">
      <c r="C502" s="450"/>
      <c r="E502" s="442"/>
      <c r="F502" s="442"/>
      <c r="G502" s="442"/>
      <c r="H502" s="442"/>
      <c r="I502" s="442"/>
      <c r="J502" s="442"/>
      <c r="K502" s="442"/>
      <c r="L502" s="442"/>
    </row>
    <row r="503" spans="2:12" ht="12.75">
      <c r="B503" s="522" t="s">
        <v>143</v>
      </c>
      <c r="C503" s="450"/>
      <c r="E503" s="442"/>
      <c r="F503" s="442"/>
      <c r="G503" s="442"/>
      <c r="H503" s="442"/>
      <c r="I503" s="442"/>
      <c r="J503" s="442"/>
      <c r="K503" s="442"/>
      <c r="L503" s="442"/>
    </row>
    <row r="504" spans="3:12" ht="12.75">
      <c r="C504" s="450"/>
      <c r="E504" s="442"/>
      <c r="F504" s="442"/>
      <c r="G504" s="442"/>
      <c r="H504" s="442"/>
      <c r="I504" s="442"/>
      <c r="J504" s="442"/>
      <c r="K504" s="442"/>
      <c r="L504" s="442"/>
    </row>
    <row r="505" spans="2:12" ht="12.75">
      <c r="B505" s="447" t="s">
        <v>117</v>
      </c>
      <c r="C505" s="450"/>
      <c r="D505" s="523">
        <f>SUM(Rekenvol!E139:L139,Rekenvol!E147:L147)</f>
        <v>3</v>
      </c>
      <c r="E505" s="442"/>
      <c r="F505" s="442"/>
      <c r="G505" s="442"/>
      <c r="H505" s="442"/>
      <c r="I505" s="442"/>
      <c r="J505" s="442"/>
      <c r="K505" s="442"/>
      <c r="L505" s="442"/>
    </row>
    <row r="506" spans="2:12" ht="12.75">
      <c r="B506" s="447" t="s">
        <v>141</v>
      </c>
      <c r="C506" s="450"/>
      <c r="D506" s="523">
        <f>SUM(Rekenvol!E155:L155,Rekenvol!E163:L163)</f>
        <v>5</v>
      </c>
      <c r="E506" s="442"/>
      <c r="F506" s="442"/>
      <c r="G506" s="442"/>
      <c r="H506" s="442"/>
      <c r="I506" s="442"/>
      <c r="J506" s="442"/>
      <c r="K506" s="442"/>
      <c r="L506" s="442"/>
    </row>
    <row r="507" spans="2:12" ht="12.75">
      <c r="B507" s="447" t="s">
        <v>142</v>
      </c>
      <c r="C507" s="450"/>
      <c r="D507" s="523">
        <f>SUM(Rekenvol!E171:L171,Rekenvol!E179:L179)</f>
        <v>10</v>
      </c>
      <c r="E507" s="442"/>
      <c r="F507" s="442"/>
      <c r="G507" s="442"/>
      <c r="H507" s="442"/>
      <c r="I507" s="442"/>
      <c r="J507" s="442"/>
      <c r="K507" s="442"/>
      <c r="L507" s="442"/>
    </row>
    <row r="508" spans="2:12" ht="12.75">
      <c r="B508" s="447" t="s">
        <v>241</v>
      </c>
      <c r="C508" s="450"/>
      <c r="D508" s="523">
        <f>SUM(Rekenvol!E186:L186)</f>
        <v>3</v>
      </c>
      <c r="E508" s="442"/>
      <c r="F508" s="442"/>
      <c r="G508" s="442"/>
      <c r="H508" s="442"/>
      <c r="I508" s="442"/>
      <c r="J508" s="442"/>
      <c r="K508" s="442"/>
      <c r="L508" s="442"/>
    </row>
    <row r="509" spans="2:12" ht="12.75">
      <c r="B509" s="447" t="s">
        <v>243</v>
      </c>
      <c r="C509" s="450"/>
      <c r="D509" s="523">
        <f>SUM(Rekenvol!E193:L193)</f>
        <v>8</v>
      </c>
      <c r="E509" s="442"/>
      <c r="F509" s="442"/>
      <c r="G509" s="442"/>
      <c r="H509" s="442"/>
      <c r="I509" s="442"/>
      <c r="J509" s="442"/>
      <c r="K509" s="442"/>
      <c r="L509" s="442"/>
    </row>
    <row r="510" spans="2:12" ht="12.75">
      <c r="B510" s="447" t="s">
        <v>244</v>
      </c>
      <c r="C510" s="450"/>
      <c r="D510" s="523">
        <f>SUM(Rekenvol!E200:L200)</f>
        <v>8</v>
      </c>
      <c r="E510" s="442"/>
      <c r="F510" s="442"/>
      <c r="G510" s="442"/>
      <c r="H510" s="442"/>
      <c r="I510" s="442"/>
      <c r="J510" s="442"/>
      <c r="K510" s="442"/>
      <c r="L510" s="442"/>
    </row>
    <row r="511" spans="3:12" ht="12.75">
      <c r="C511" s="450"/>
      <c r="E511" s="442"/>
      <c r="F511" s="442"/>
      <c r="G511" s="442"/>
      <c r="H511" s="442"/>
      <c r="I511" s="442"/>
      <c r="J511" s="442"/>
      <c r="K511" s="442"/>
      <c r="L511" s="442"/>
    </row>
    <row r="512" spans="2:12" ht="12.75">
      <c r="B512" s="522" t="s">
        <v>139</v>
      </c>
      <c r="C512" s="450"/>
      <c r="E512" s="442"/>
      <c r="F512" s="442"/>
      <c r="G512" s="442"/>
      <c r="H512" s="442"/>
      <c r="I512" s="442"/>
      <c r="J512" s="442"/>
      <c r="K512" s="442"/>
      <c r="L512" s="442"/>
    </row>
    <row r="513" spans="3:12" ht="12.75">
      <c r="C513" s="450"/>
      <c r="E513" s="442"/>
      <c r="F513" s="442"/>
      <c r="G513" s="442"/>
      <c r="H513" s="442"/>
      <c r="I513" s="442"/>
      <c r="J513" s="442"/>
      <c r="K513" s="442"/>
      <c r="L513" s="442"/>
    </row>
    <row r="514" spans="2:12" ht="12.75">
      <c r="B514" s="447" t="s">
        <v>117</v>
      </c>
      <c r="C514" s="450"/>
      <c r="D514" s="443">
        <f aca="true" t="shared" si="41" ref="D514:D519">D496/D505</f>
        <v>7.116447751369773</v>
      </c>
      <c r="E514" s="442"/>
      <c r="F514" s="442"/>
      <c r="G514" s="442"/>
      <c r="H514" s="442"/>
      <c r="I514" s="442"/>
      <c r="J514" s="442"/>
      <c r="K514" s="442"/>
      <c r="L514" s="442"/>
    </row>
    <row r="515" spans="2:12" ht="12.75">
      <c r="B515" s="447" t="s">
        <v>141</v>
      </c>
      <c r="C515" s="450"/>
      <c r="D515" s="443">
        <f t="shared" si="41"/>
        <v>11.463151837527771</v>
      </c>
      <c r="E515" s="442"/>
      <c r="F515" s="442"/>
      <c r="G515" s="442"/>
      <c r="H515" s="442"/>
      <c r="I515" s="442"/>
      <c r="J515" s="442"/>
      <c r="K515" s="442"/>
      <c r="L515" s="442"/>
    </row>
    <row r="516" spans="2:12" ht="12.75">
      <c r="B516" s="447" t="s">
        <v>142</v>
      </c>
      <c r="C516" s="450"/>
      <c r="D516" s="443">
        <f t="shared" si="41"/>
        <v>14.99741533153276</v>
      </c>
      <c r="E516" s="442"/>
      <c r="F516" s="442"/>
      <c r="G516" s="442"/>
      <c r="H516" s="442"/>
      <c r="I516" s="442"/>
      <c r="J516" s="442"/>
      <c r="K516" s="442"/>
      <c r="L516" s="442"/>
    </row>
    <row r="517" spans="2:12" ht="12.75">
      <c r="B517" s="447" t="s">
        <v>241</v>
      </c>
      <c r="C517" s="450"/>
      <c r="D517" s="443">
        <f t="shared" si="41"/>
        <v>14.451494199401871</v>
      </c>
      <c r="E517" s="442"/>
      <c r="F517" s="442"/>
      <c r="G517" s="442"/>
      <c r="H517" s="442"/>
      <c r="I517" s="442"/>
      <c r="J517" s="442"/>
      <c r="K517" s="442"/>
      <c r="L517" s="442"/>
    </row>
    <row r="518" spans="2:12" ht="12.75">
      <c r="B518" s="447" t="s">
        <v>243</v>
      </c>
      <c r="C518" s="450"/>
      <c r="D518" s="443">
        <f t="shared" si="41"/>
        <v>13.5886881777776</v>
      </c>
      <c r="E518" s="442"/>
      <c r="F518" s="442"/>
      <c r="G518" s="442"/>
      <c r="H518" s="442"/>
      <c r="I518" s="442"/>
      <c r="J518" s="442"/>
      <c r="K518" s="442"/>
      <c r="L518" s="442"/>
    </row>
    <row r="519" spans="2:12" ht="12.75">
      <c r="B519" s="447" t="s">
        <v>244</v>
      </c>
      <c r="C519" s="450"/>
      <c r="D519" s="443">
        <f t="shared" si="41"/>
        <v>20.441055952146975</v>
      </c>
      <c r="E519" s="442"/>
      <c r="F519" s="442"/>
      <c r="G519" s="442"/>
      <c r="H519" s="442"/>
      <c r="I519" s="442"/>
      <c r="J519" s="442"/>
      <c r="K519" s="442"/>
      <c r="L519" s="442"/>
    </row>
    <row r="520" spans="3:12" ht="12.75">
      <c r="C520" s="450"/>
      <c r="E520" s="442"/>
      <c r="F520" s="442"/>
      <c r="G520" s="442"/>
      <c r="H520" s="442"/>
      <c r="I520" s="442"/>
      <c r="J520" s="442"/>
      <c r="K520" s="442"/>
      <c r="L520" s="442"/>
    </row>
    <row r="521" spans="2:12" ht="12.75">
      <c r="B521" s="522" t="s">
        <v>140</v>
      </c>
      <c r="C521" s="450"/>
      <c r="E521" s="442"/>
      <c r="F521" s="442"/>
      <c r="G521" s="442"/>
      <c r="H521" s="442"/>
      <c r="I521" s="442"/>
      <c r="J521" s="442"/>
      <c r="K521" s="442"/>
      <c r="L521" s="442"/>
    </row>
    <row r="522" spans="3:12" ht="12.75">
      <c r="C522" s="450"/>
      <c r="E522" s="442"/>
      <c r="F522" s="442"/>
      <c r="G522" s="442"/>
      <c r="H522" s="442"/>
      <c r="I522" s="442"/>
      <c r="J522" s="442"/>
      <c r="K522" s="442"/>
      <c r="L522" s="442"/>
    </row>
    <row r="523" spans="2:12" ht="12.75">
      <c r="B523" s="525" t="s">
        <v>118</v>
      </c>
      <c r="C523" s="450" t="s">
        <v>45</v>
      </c>
      <c r="D523" s="443">
        <f>D515-D514</f>
        <v>4.346704086157999</v>
      </c>
      <c r="E523" s="442"/>
      <c r="F523" s="442"/>
      <c r="G523" s="442"/>
      <c r="H523" s="442"/>
      <c r="I523" s="442"/>
      <c r="J523" s="442"/>
      <c r="K523" s="442"/>
      <c r="L523" s="442"/>
    </row>
    <row r="524" spans="2:12" ht="12.75">
      <c r="B524" s="525" t="s">
        <v>119</v>
      </c>
      <c r="C524" s="450" t="s">
        <v>45</v>
      </c>
      <c r="D524" s="443">
        <f>D516-D514</f>
        <v>7.880967580162988</v>
      </c>
      <c r="E524" s="442"/>
      <c r="F524" s="442"/>
      <c r="G524" s="442"/>
      <c r="H524" s="442"/>
      <c r="I524" s="442"/>
      <c r="J524" s="442"/>
      <c r="K524" s="442"/>
      <c r="L524" s="442"/>
    </row>
    <row r="525" spans="2:12" ht="12.75">
      <c r="B525" s="525" t="s">
        <v>120</v>
      </c>
      <c r="C525" s="450" t="s">
        <v>45</v>
      </c>
      <c r="D525" s="443">
        <f>D517-D515</f>
        <v>2.9883423618741</v>
      </c>
      <c r="E525" s="442"/>
      <c r="F525" s="442"/>
      <c r="G525" s="442"/>
      <c r="H525" s="442"/>
      <c r="I525" s="442"/>
      <c r="J525" s="442"/>
      <c r="K525" s="442"/>
      <c r="L525" s="442"/>
    </row>
    <row r="526" spans="2:12" ht="12.75">
      <c r="B526" s="525" t="s">
        <v>121</v>
      </c>
      <c r="C526" s="450" t="s">
        <v>45</v>
      </c>
      <c r="D526" s="443">
        <f>D518-D515</f>
        <v>2.1255363402498286</v>
      </c>
      <c r="E526" s="442"/>
      <c r="F526" s="442"/>
      <c r="G526" s="442"/>
      <c r="H526" s="442"/>
      <c r="I526" s="442"/>
      <c r="J526" s="442"/>
      <c r="K526" s="442"/>
      <c r="L526" s="442"/>
    </row>
    <row r="527" spans="2:12" ht="12.75">
      <c r="B527" s="525" t="s">
        <v>122</v>
      </c>
      <c r="C527" s="450" t="s">
        <v>45</v>
      </c>
      <c r="D527" s="443">
        <f>D519-D515</f>
        <v>8.977904114619204</v>
      </c>
      <c r="E527" s="442"/>
      <c r="F527" s="442"/>
      <c r="G527" s="442"/>
      <c r="H527" s="442"/>
      <c r="I527" s="442"/>
      <c r="J527" s="442"/>
      <c r="K527" s="442"/>
      <c r="L527" s="442"/>
    </row>
    <row r="528" spans="2:12" ht="12.75">
      <c r="B528" s="531"/>
      <c r="C528" s="450"/>
      <c r="D528" s="442"/>
      <c r="E528" s="442"/>
      <c r="F528" s="442"/>
      <c r="G528" s="442"/>
      <c r="H528" s="442"/>
      <c r="I528" s="442"/>
      <c r="J528" s="442"/>
      <c r="K528" s="442"/>
      <c r="L528" s="442"/>
    </row>
    <row r="529" spans="2:12" ht="12.75">
      <c r="B529" s="526" t="s">
        <v>123</v>
      </c>
      <c r="C529" s="450"/>
      <c r="D529" s="442"/>
      <c r="E529" s="442"/>
      <c r="F529" s="442"/>
      <c r="G529" s="442"/>
      <c r="H529" s="442"/>
      <c r="I529" s="442"/>
      <c r="J529" s="442"/>
      <c r="K529" s="442"/>
      <c r="L529" s="442"/>
    </row>
    <row r="530" spans="2:12" ht="12.75">
      <c r="B530" s="524"/>
      <c r="C530" s="450"/>
      <c r="D530" s="442"/>
      <c r="E530" s="442"/>
      <c r="F530" s="442"/>
      <c r="G530" s="467"/>
      <c r="H530" s="442"/>
      <c r="I530" s="442"/>
      <c r="J530" s="442"/>
      <c r="K530" s="442"/>
      <c r="L530" s="442"/>
    </row>
    <row r="531" spans="2:12" ht="12.75">
      <c r="B531" s="525" t="s">
        <v>118</v>
      </c>
      <c r="C531" s="450" t="s">
        <v>21</v>
      </c>
      <c r="D531" s="529">
        <f>D523/D515</f>
        <v>0.3791892620603586</v>
      </c>
      <c r="E531" s="442"/>
      <c r="F531" s="442"/>
      <c r="G531" s="467"/>
      <c r="H531" s="442"/>
      <c r="I531" s="442"/>
      <c r="J531" s="442"/>
      <c r="K531" s="442"/>
      <c r="L531" s="442"/>
    </row>
    <row r="532" spans="2:12" ht="12.75">
      <c r="B532" s="525" t="s">
        <v>119</v>
      </c>
      <c r="C532" s="450" t="s">
        <v>21</v>
      </c>
      <c r="D532" s="529">
        <f>D524/D516</f>
        <v>0.5254883862283182</v>
      </c>
      <c r="E532" s="442"/>
      <c r="F532" s="442"/>
      <c r="G532" s="467"/>
      <c r="H532" s="442"/>
      <c r="I532" s="442"/>
      <c r="J532" s="442"/>
      <c r="K532" s="442"/>
      <c r="L532" s="442"/>
    </row>
    <row r="533" spans="2:12" ht="12.75">
      <c r="B533" s="525" t="s">
        <v>120</v>
      </c>
      <c r="C533" s="450" t="s">
        <v>21</v>
      </c>
      <c r="D533" s="529">
        <f>D525/D517</f>
        <v>0.2067843172921028</v>
      </c>
      <c r="E533" s="442"/>
      <c r="F533" s="442"/>
      <c r="G533" s="467"/>
      <c r="H533" s="442"/>
      <c r="I533" s="442"/>
      <c r="J533" s="442"/>
      <c r="K533" s="442"/>
      <c r="L533" s="442"/>
    </row>
    <row r="534" spans="2:12" ht="12.75">
      <c r="B534" s="525" t="s">
        <v>121</v>
      </c>
      <c r="C534" s="450" t="s">
        <v>21</v>
      </c>
      <c r="D534" s="529">
        <f>D526/D518</f>
        <v>0.15641953899022026</v>
      </c>
      <c r="E534" s="442"/>
      <c r="F534" s="442"/>
      <c r="G534" s="467"/>
      <c r="H534" s="442"/>
      <c r="I534" s="442"/>
      <c r="J534" s="442"/>
      <c r="K534" s="442"/>
      <c r="L534" s="442"/>
    </row>
    <row r="535" spans="2:12" ht="12.75">
      <c r="B535" s="525" t="s">
        <v>122</v>
      </c>
      <c r="C535" s="450" t="s">
        <v>21</v>
      </c>
      <c r="D535" s="529">
        <f>D527/D519</f>
        <v>0.439209409515668</v>
      </c>
      <c r="E535" s="442"/>
      <c r="F535" s="442"/>
      <c r="G535" s="442"/>
      <c r="H535" s="442"/>
      <c r="I535" s="442"/>
      <c r="J535" s="442"/>
      <c r="K535" s="442"/>
      <c r="L535" s="442"/>
    </row>
    <row r="536" spans="2:12" ht="12.75">
      <c r="B536" s="457"/>
      <c r="E536" s="442"/>
      <c r="F536" s="442"/>
      <c r="G536" s="442"/>
      <c r="H536" s="442"/>
      <c r="I536" s="442"/>
      <c r="J536" s="442"/>
      <c r="K536" s="442"/>
      <c r="L536" s="442"/>
    </row>
    <row r="537" spans="5:12" ht="12.75">
      <c r="E537" s="442"/>
      <c r="F537" s="442"/>
      <c r="G537" s="442"/>
      <c r="H537" s="442"/>
      <c r="I537" s="442"/>
      <c r="J537" s="442"/>
      <c r="K537" s="442"/>
      <c r="L537" s="442"/>
    </row>
    <row r="538" spans="5:12" ht="12.75">
      <c r="E538" s="442"/>
      <c r="F538" s="442"/>
      <c r="G538" s="442"/>
      <c r="H538" s="442"/>
      <c r="I538" s="442"/>
      <c r="J538" s="442"/>
      <c r="K538" s="442"/>
      <c r="L538" s="442"/>
    </row>
    <row r="539" spans="5:12" ht="12.75">
      <c r="E539" s="442"/>
      <c r="F539" s="442"/>
      <c r="G539" s="442"/>
      <c r="H539" s="442"/>
      <c r="I539" s="442"/>
      <c r="J539" s="442"/>
      <c r="K539" s="442"/>
      <c r="L539" s="44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9"/>
  <dimension ref="B2:L293"/>
  <sheetViews>
    <sheetView showGridLines="0" zoomScale="85" zoomScaleNormal="85" workbookViewId="0" topLeftCell="A1">
      <pane xSplit="4" ySplit="2" topLeftCell="E23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265" sqref="H265"/>
    </sheetView>
  </sheetViews>
  <sheetFormatPr defaultColWidth="9.140625" defaultRowHeight="12.75" outlineLevelRow="1"/>
  <cols>
    <col min="1" max="1" width="2.7109375" style="23" customWidth="1"/>
    <col min="2" max="2" width="53.8515625" style="470" customWidth="1"/>
    <col min="3" max="3" width="10.140625" style="470" customWidth="1"/>
    <col min="4" max="4" width="10.28125" style="470" customWidth="1"/>
    <col min="5" max="5" width="11.421875" style="470" bestFit="1" customWidth="1"/>
    <col min="6" max="6" width="11.28125" style="470" bestFit="1" customWidth="1"/>
    <col min="7" max="8" width="12.8515625" style="470" bestFit="1" customWidth="1"/>
    <col min="9" max="9" width="11.28125" style="470" bestFit="1" customWidth="1"/>
    <col min="10" max="12" width="12.8515625" style="470" bestFit="1" customWidth="1"/>
    <col min="13" max="16384" width="9.140625" style="23" customWidth="1"/>
  </cols>
  <sheetData>
    <row r="2" spans="2:12" s="2" customFormat="1" ht="137.25" customHeight="1">
      <c r="B2" s="3" t="s">
        <v>220</v>
      </c>
      <c r="C2" s="3"/>
      <c r="D2" s="3"/>
      <c r="E2" s="4" t="s">
        <v>146</v>
      </c>
      <c r="F2" s="4" t="s">
        <v>29</v>
      </c>
      <c r="G2" s="4" t="s">
        <v>455</v>
      </c>
      <c r="H2" s="4" t="s">
        <v>148</v>
      </c>
      <c r="I2" s="4" t="s">
        <v>150</v>
      </c>
      <c r="J2" s="4" t="s">
        <v>151</v>
      </c>
      <c r="K2" s="4" t="s">
        <v>147</v>
      </c>
      <c r="L2" s="4" t="s">
        <v>30</v>
      </c>
    </row>
    <row r="4" spans="2:4" s="5" customFormat="1" ht="12.75">
      <c r="B4" s="6" t="s">
        <v>465</v>
      </c>
      <c r="C4" s="6"/>
      <c r="D4" s="6"/>
    </row>
    <row r="5" spans="2:4" ht="12.75" outlineLevel="1">
      <c r="B5" s="469"/>
      <c r="C5" s="469"/>
      <c r="D5" s="469"/>
    </row>
    <row r="6" ht="12.75" outlineLevel="1"/>
    <row r="7" spans="2:12" ht="12.75" outlineLevel="1">
      <c r="B7" s="448" t="s">
        <v>229</v>
      </c>
      <c r="C7" s="447"/>
      <c r="D7" s="447"/>
      <c r="E7" s="476"/>
      <c r="F7" s="476"/>
      <c r="G7" s="476"/>
      <c r="H7" s="476"/>
      <c r="I7" s="476"/>
      <c r="J7" s="476"/>
      <c r="K7" s="476"/>
      <c r="L7" s="476"/>
    </row>
    <row r="8" spans="2:12" ht="12.75" outlineLevel="1">
      <c r="B8" s="447" t="s">
        <v>230</v>
      </c>
      <c r="C8" s="447"/>
      <c r="D8" s="447"/>
      <c r="E8" s="283">
        <v>0</v>
      </c>
      <c r="F8" s="283">
        <v>0</v>
      </c>
      <c r="G8" s="283">
        <v>0</v>
      </c>
      <c r="H8" s="283">
        <v>0</v>
      </c>
      <c r="I8" s="283">
        <v>4.8798213085362985</v>
      </c>
      <c r="J8" s="283">
        <v>0</v>
      </c>
      <c r="K8" s="283">
        <v>2.002536231884058</v>
      </c>
      <c r="L8" s="283">
        <v>0</v>
      </c>
    </row>
    <row r="9" spans="2:12" ht="12.75" outlineLevel="1">
      <c r="B9" s="447"/>
      <c r="C9" s="447"/>
      <c r="D9" s="447"/>
      <c r="E9" s="109"/>
      <c r="F9" s="109"/>
      <c r="G9" s="109"/>
      <c r="H9" s="109"/>
      <c r="I9" s="109"/>
      <c r="J9" s="109"/>
      <c r="K9" s="109"/>
      <c r="L9" s="109"/>
    </row>
    <row r="10" spans="2:12" ht="12.75" outlineLevel="1">
      <c r="B10" s="447" t="s">
        <v>231</v>
      </c>
      <c r="C10" s="447"/>
      <c r="D10" s="447"/>
      <c r="E10" s="283">
        <v>0</v>
      </c>
      <c r="F10" s="283">
        <v>0</v>
      </c>
      <c r="G10" s="283">
        <v>0</v>
      </c>
      <c r="H10" s="283">
        <v>0</v>
      </c>
      <c r="I10" s="283">
        <v>13386.06260383816</v>
      </c>
      <c r="J10" s="283">
        <v>0</v>
      </c>
      <c r="K10" s="283">
        <v>303016.7635658915</v>
      </c>
      <c r="L10" s="283">
        <v>0</v>
      </c>
    </row>
    <row r="11" spans="2:12" ht="12.75" outlineLevel="1">
      <c r="B11" s="447" t="s">
        <v>232</v>
      </c>
      <c r="C11" s="447"/>
      <c r="D11" s="447"/>
      <c r="E11" s="283">
        <v>0</v>
      </c>
      <c r="F11" s="283">
        <v>0</v>
      </c>
      <c r="G11" s="283">
        <v>0</v>
      </c>
      <c r="H11" s="283">
        <v>0</v>
      </c>
      <c r="I11" s="283">
        <v>43469.71148241218</v>
      </c>
      <c r="J11" s="283">
        <v>0</v>
      </c>
      <c r="K11" s="283">
        <v>3394729.5454545454</v>
      </c>
      <c r="L11" s="283">
        <v>0</v>
      </c>
    </row>
    <row r="12" spans="2:12" ht="12.75" outlineLevel="1">
      <c r="B12" s="447"/>
      <c r="C12" s="447"/>
      <c r="D12" s="447"/>
      <c r="E12" s="109"/>
      <c r="F12" s="109"/>
      <c r="G12" s="109"/>
      <c r="H12" s="109"/>
      <c r="I12" s="109"/>
      <c r="J12" s="109"/>
      <c r="K12" s="109"/>
      <c r="L12" s="109"/>
    </row>
    <row r="13" spans="2:12" ht="12.75" outlineLevel="1">
      <c r="B13" s="447" t="s">
        <v>234</v>
      </c>
      <c r="C13" s="447"/>
      <c r="D13" s="447"/>
      <c r="E13" s="283">
        <v>0</v>
      </c>
      <c r="F13" s="283">
        <v>0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</row>
    <row r="14" spans="2:12" ht="12.75" outlineLevel="1">
      <c r="B14" s="447" t="s">
        <v>275</v>
      </c>
      <c r="C14" s="447"/>
      <c r="D14" s="447"/>
      <c r="E14" s="109"/>
      <c r="F14" s="109"/>
      <c r="G14" s="109"/>
      <c r="H14" s="109"/>
      <c r="I14" s="109"/>
      <c r="J14" s="109"/>
      <c r="K14" s="109"/>
      <c r="L14" s="109"/>
    </row>
    <row r="15" spans="2:12" ht="12.75" outlineLevel="1">
      <c r="B15" s="448" t="s">
        <v>235</v>
      </c>
      <c r="C15" s="447"/>
      <c r="D15" s="447"/>
      <c r="E15" s="109"/>
      <c r="F15" s="109"/>
      <c r="G15" s="109"/>
      <c r="H15" s="109"/>
      <c r="I15" s="109"/>
      <c r="J15" s="109"/>
      <c r="K15" s="109"/>
      <c r="L15" s="109"/>
    </row>
    <row r="16" spans="2:12" ht="12.75" outlineLevel="1">
      <c r="B16" s="447" t="s">
        <v>230</v>
      </c>
      <c r="C16" s="447"/>
      <c r="D16" s="447"/>
      <c r="E16" s="283">
        <v>0</v>
      </c>
      <c r="F16" s="283">
        <v>0</v>
      </c>
      <c r="G16" s="283">
        <v>0</v>
      </c>
      <c r="H16" s="283">
        <v>0</v>
      </c>
      <c r="I16" s="283">
        <v>0</v>
      </c>
      <c r="J16" s="283">
        <v>0</v>
      </c>
      <c r="K16" s="283">
        <v>5</v>
      </c>
      <c r="L16" s="283">
        <v>0</v>
      </c>
    </row>
    <row r="17" spans="2:12" ht="12.75" outlineLevel="1">
      <c r="B17" s="447"/>
      <c r="C17" s="447"/>
      <c r="D17" s="447"/>
      <c r="E17" s="109"/>
      <c r="F17" s="109"/>
      <c r="G17" s="109"/>
      <c r="H17" s="109"/>
      <c r="I17" s="109"/>
      <c r="J17" s="109"/>
      <c r="K17" s="109"/>
      <c r="L17" s="109"/>
    </row>
    <row r="18" spans="2:12" ht="12.75" outlineLevel="1">
      <c r="B18" s="447" t="s">
        <v>231</v>
      </c>
      <c r="C18" s="447"/>
      <c r="D18" s="447"/>
      <c r="E18" s="283">
        <v>0</v>
      </c>
      <c r="F18" s="283">
        <v>0</v>
      </c>
      <c r="G18" s="283">
        <v>0</v>
      </c>
      <c r="H18" s="283">
        <v>0</v>
      </c>
      <c r="I18" s="283">
        <v>0</v>
      </c>
      <c r="J18" s="283">
        <v>0</v>
      </c>
      <c r="K18" s="283">
        <v>30165.46511627907</v>
      </c>
      <c r="L18" s="283">
        <v>0</v>
      </c>
    </row>
    <row r="19" spans="2:12" ht="12.75" outlineLevel="1">
      <c r="B19" s="447" t="s">
        <v>236</v>
      </c>
      <c r="C19" s="447"/>
      <c r="D19" s="447"/>
      <c r="E19" s="283">
        <v>0</v>
      </c>
      <c r="F19" s="283">
        <v>0</v>
      </c>
      <c r="G19" s="283">
        <v>0</v>
      </c>
      <c r="H19" s="283">
        <v>0</v>
      </c>
      <c r="I19" s="283">
        <v>0</v>
      </c>
      <c r="J19" s="283">
        <v>0</v>
      </c>
      <c r="K19" s="283">
        <v>105469.91304347826</v>
      </c>
      <c r="L19" s="283">
        <v>0</v>
      </c>
    </row>
    <row r="20" spans="2:12" ht="12.75" outlineLevel="1">
      <c r="B20" s="447"/>
      <c r="C20" s="447"/>
      <c r="D20" s="447"/>
      <c r="E20" s="109"/>
      <c r="F20" s="109"/>
      <c r="G20" s="109"/>
      <c r="H20" s="109"/>
      <c r="I20" s="109"/>
      <c r="J20" s="109"/>
      <c r="K20" s="109"/>
      <c r="L20" s="109"/>
    </row>
    <row r="21" spans="2:12" ht="12.75" outlineLevel="1">
      <c r="B21" s="447" t="s">
        <v>234</v>
      </c>
      <c r="C21" s="447"/>
      <c r="D21" s="447"/>
      <c r="E21" s="283">
        <v>0</v>
      </c>
      <c r="F21" s="283">
        <v>0</v>
      </c>
      <c r="G21" s="283">
        <v>0</v>
      </c>
      <c r="H21" s="283">
        <v>0</v>
      </c>
      <c r="I21" s="283">
        <v>0</v>
      </c>
      <c r="J21" s="283">
        <v>0</v>
      </c>
      <c r="K21" s="283">
        <v>1341372.5490196077</v>
      </c>
      <c r="L21" s="283">
        <v>0</v>
      </c>
    </row>
    <row r="22" spans="2:12" ht="12.75" outlineLevel="1">
      <c r="B22" s="447" t="s">
        <v>275</v>
      </c>
      <c r="C22" s="447"/>
      <c r="D22" s="447"/>
      <c r="E22" s="109"/>
      <c r="F22" s="109"/>
      <c r="G22" s="109"/>
      <c r="H22" s="109"/>
      <c r="I22" s="109"/>
      <c r="J22" s="109"/>
      <c r="K22" s="109"/>
      <c r="L22" s="109"/>
    </row>
    <row r="23" spans="2:12" ht="12.75" outlineLevel="1">
      <c r="B23" s="448" t="s">
        <v>237</v>
      </c>
      <c r="C23" s="447"/>
      <c r="D23" s="447"/>
      <c r="E23" s="109"/>
      <c r="F23" s="109"/>
      <c r="G23" s="109"/>
      <c r="H23" s="109"/>
      <c r="I23" s="109"/>
      <c r="J23" s="109"/>
      <c r="K23" s="109"/>
      <c r="L23" s="109"/>
    </row>
    <row r="24" spans="2:12" ht="12.75" outlineLevel="1">
      <c r="B24" s="447" t="s">
        <v>230</v>
      </c>
      <c r="C24" s="447"/>
      <c r="D24" s="447"/>
      <c r="E24" s="283">
        <v>0</v>
      </c>
      <c r="F24" s="283">
        <v>1</v>
      </c>
      <c r="G24" s="283">
        <v>0</v>
      </c>
      <c r="H24" s="283">
        <v>0</v>
      </c>
      <c r="I24" s="283">
        <v>9.240093380692729</v>
      </c>
      <c r="J24" s="283">
        <v>0</v>
      </c>
      <c r="K24" s="283">
        <v>69.4141304347826</v>
      </c>
      <c r="L24" s="283">
        <v>0</v>
      </c>
    </row>
    <row r="25" spans="2:12" ht="12.75" outlineLevel="1">
      <c r="B25" s="447"/>
      <c r="C25" s="447"/>
      <c r="D25" s="447"/>
      <c r="E25" s="109"/>
      <c r="F25" s="109"/>
      <c r="G25" s="109"/>
      <c r="H25" s="109"/>
      <c r="I25" s="109"/>
      <c r="J25" s="109"/>
      <c r="K25" s="109"/>
      <c r="L25" s="109"/>
    </row>
    <row r="26" spans="2:12" ht="12.75" outlineLevel="1">
      <c r="B26" s="447" t="s">
        <v>231</v>
      </c>
      <c r="C26" s="447"/>
      <c r="D26" s="447"/>
      <c r="E26" s="283">
        <v>0</v>
      </c>
      <c r="F26" s="283">
        <v>21780.09600000002</v>
      </c>
      <c r="G26" s="283">
        <v>0</v>
      </c>
      <c r="H26" s="283">
        <v>0</v>
      </c>
      <c r="I26" s="283">
        <v>53618.732498521524</v>
      </c>
      <c r="J26" s="283">
        <v>0</v>
      </c>
      <c r="K26" s="283">
        <v>837456.6314553991</v>
      </c>
      <c r="L26" s="283">
        <v>0</v>
      </c>
    </row>
    <row r="27" spans="2:12" ht="12.75" outlineLevel="1">
      <c r="B27" s="447" t="s">
        <v>232</v>
      </c>
      <c r="C27" s="447"/>
      <c r="D27" s="447"/>
      <c r="E27" s="283">
        <v>0</v>
      </c>
      <c r="F27" s="283">
        <v>223082.6400000006</v>
      </c>
      <c r="G27" s="283">
        <v>0</v>
      </c>
      <c r="H27" s="283">
        <v>0</v>
      </c>
      <c r="I27" s="283">
        <v>494439.7836300996</v>
      </c>
      <c r="J27" s="283">
        <v>0</v>
      </c>
      <c r="K27" s="283">
        <v>6536975</v>
      </c>
      <c r="L27" s="283">
        <v>0</v>
      </c>
    </row>
    <row r="28" spans="2:12" ht="12.75" outlineLevel="1">
      <c r="B28" s="447"/>
      <c r="C28" s="447"/>
      <c r="D28" s="447"/>
      <c r="E28" s="109"/>
      <c r="F28" s="109"/>
      <c r="G28" s="109"/>
      <c r="H28" s="109"/>
      <c r="I28" s="109"/>
      <c r="J28" s="109"/>
      <c r="K28" s="109"/>
      <c r="L28" s="109"/>
    </row>
    <row r="29" spans="2:12" ht="12.75" outlineLevel="1">
      <c r="B29" s="447" t="s">
        <v>234</v>
      </c>
      <c r="C29" s="447"/>
      <c r="D29" s="447"/>
      <c r="E29" s="283">
        <v>0</v>
      </c>
      <c r="F29" s="283">
        <v>0</v>
      </c>
      <c r="G29" s="283">
        <v>0</v>
      </c>
      <c r="H29" s="283">
        <v>0</v>
      </c>
      <c r="I29" s="283">
        <v>0</v>
      </c>
      <c r="J29" s="283">
        <v>0</v>
      </c>
      <c r="K29" s="283">
        <v>83654313.72549018</v>
      </c>
      <c r="L29" s="283">
        <v>0</v>
      </c>
    </row>
    <row r="30" spans="2:12" ht="12.75" outlineLevel="1">
      <c r="B30" s="447" t="s">
        <v>275</v>
      </c>
      <c r="C30" s="447"/>
      <c r="D30" s="447"/>
      <c r="E30" s="109"/>
      <c r="F30" s="109"/>
      <c r="G30" s="109"/>
      <c r="H30" s="109"/>
      <c r="I30" s="109"/>
      <c r="J30" s="109"/>
      <c r="K30" s="109"/>
      <c r="L30" s="109"/>
    </row>
    <row r="31" spans="2:12" ht="12.75" outlineLevel="1">
      <c r="B31" s="448" t="s">
        <v>238</v>
      </c>
      <c r="C31" s="447"/>
      <c r="D31" s="447"/>
      <c r="E31" s="109"/>
      <c r="F31" s="109"/>
      <c r="G31" s="109"/>
      <c r="H31" s="109"/>
      <c r="I31" s="109"/>
      <c r="J31" s="109"/>
      <c r="K31" s="109"/>
      <c r="L31" s="109"/>
    </row>
    <row r="32" spans="2:12" ht="12.75" outlineLevel="1">
      <c r="B32" s="447" t="s">
        <v>230</v>
      </c>
      <c r="C32" s="447"/>
      <c r="D32" s="447"/>
      <c r="E32" s="283">
        <v>0</v>
      </c>
      <c r="F32" s="283">
        <v>0</v>
      </c>
      <c r="G32" s="283">
        <v>0</v>
      </c>
      <c r="H32" s="283">
        <v>2</v>
      </c>
      <c r="I32" s="283">
        <v>11.997</v>
      </c>
      <c r="J32" s="283">
        <v>0</v>
      </c>
      <c r="K32" s="283">
        <v>10.868115942028986</v>
      </c>
      <c r="L32" s="283">
        <v>0</v>
      </c>
    </row>
    <row r="33" spans="2:12" ht="12.75" outlineLevel="1">
      <c r="B33" s="447"/>
      <c r="C33" s="447"/>
      <c r="D33" s="447"/>
      <c r="E33" s="109"/>
      <c r="F33" s="109"/>
      <c r="G33" s="109"/>
      <c r="H33" s="109"/>
      <c r="I33" s="109"/>
      <c r="J33" s="109"/>
      <c r="K33" s="109"/>
      <c r="L33" s="109"/>
    </row>
    <row r="34" spans="2:12" ht="12.75" outlineLevel="1">
      <c r="B34" s="447" t="s">
        <v>231</v>
      </c>
      <c r="C34" s="447"/>
      <c r="D34" s="447"/>
      <c r="E34" s="283">
        <v>0</v>
      </c>
      <c r="F34" s="283">
        <v>0</v>
      </c>
      <c r="G34" s="283">
        <v>0</v>
      </c>
      <c r="H34" s="283">
        <v>7472.0091743119265</v>
      </c>
      <c r="I34" s="283">
        <v>78500.10465611573</v>
      </c>
      <c r="J34" s="283">
        <v>0</v>
      </c>
      <c r="K34" s="283">
        <v>238339.78873239437</v>
      </c>
      <c r="L34" s="283">
        <v>0</v>
      </c>
    </row>
    <row r="35" spans="2:12" ht="12.75" outlineLevel="1">
      <c r="B35" s="447" t="s">
        <v>236</v>
      </c>
      <c r="C35" s="447"/>
      <c r="D35" s="447"/>
      <c r="E35" s="283">
        <v>0</v>
      </c>
      <c r="F35" s="283">
        <v>0</v>
      </c>
      <c r="G35" s="283">
        <v>0</v>
      </c>
      <c r="H35" s="283">
        <v>42608</v>
      </c>
      <c r="I35" s="283">
        <v>1494718.992</v>
      </c>
      <c r="J35" s="283">
        <v>0</v>
      </c>
      <c r="K35" s="283">
        <v>2101154.8387096776</v>
      </c>
      <c r="L35" s="283">
        <v>0</v>
      </c>
    </row>
    <row r="36" spans="2:12" ht="12.75" outlineLevel="1">
      <c r="B36" s="447"/>
      <c r="C36" s="447"/>
      <c r="D36" s="447"/>
      <c r="E36" s="109"/>
      <c r="F36" s="109"/>
      <c r="G36" s="109"/>
      <c r="H36" s="109"/>
      <c r="I36" s="109"/>
      <c r="J36" s="109"/>
      <c r="K36" s="109"/>
      <c r="L36" s="109"/>
    </row>
    <row r="37" spans="2:12" ht="12.75" outlineLevel="1">
      <c r="B37" s="447" t="s">
        <v>234</v>
      </c>
      <c r="C37" s="447"/>
      <c r="D37" s="447"/>
      <c r="E37" s="283">
        <v>0</v>
      </c>
      <c r="F37" s="283">
        <v>0</v>
      </c>
      <c r="G37" s="283">
        <v>0</v>
      </c>
      <c r="H37" s="283">
        <v>5624760</v>
      </c>
      <c r="I37" s="283">
        <v>0</v>
      </c>
      <c r="J37" s="283">
        <v>0</v>
      </c>
      <c r="K37" s="283">
        <v>53723333.33333333</v>
      </c>
      <c r="L37" s="283">
        <v>0</v>
      </c>
    </row>
    <row r="38" spans="2:12" ht="12.75" outlineLevel="1">
      <c r="B38" s="447" t="s">
        <v>275</v>
      </c>
      <c r="C38" s="447"/>
      <c r="D38" s="447"/>
      <c r="E38" s="109"/>
      <c r="F38" s="109"/>
      <c r="G38" s="109"/>
      <c r="H38" s="109"/>
      <c r="I38" s="109"/>
      <c r="J38" s="109"/>
      <c r="K38" s="109"/>
      <c r="L38" s="109"/>
    </row>
    <row r="39" spans="2:12" ht="12.75" outlineLevel="1">
      <c r="B39" s="448" t="s">
        <v>239</v>
      </c>
      <c r="C39" s="447"/>
      <c r="D39" s="447"/>
      <c r="E39" s="109"/>
      <c r="F39" s="109"/>
      <c r="G39" s="109"/>
      <c r="H39" s="109"/>
      <c r="I39" s="109"/>
      <c r="J39" s="109"/>
      <c r="K39" s="109"/>
      <c r="L39" s="109"/>
    </row>
    <row r="40" spans="2:12" ht="12.75" outlineLevel="1">
      <c r="B40" s="447" t="s">
        <v>230</v>
      </c>
      <c r="C40" s="447"/>
      <c r="D40" s="447"/>
      <c r="E40" s="283">
        <v>0</v>
      </c>
      <c r="F40" s="283">
        <v>24.416666666666657</v>
      </c>
      <c r="G40" s="283">
        <v>0</v>
      </c>
      <c r="H40" s="283">
        <v>214.5264163372859</v>
      </c>
      <c r="I40" s="283">
        <v>206.79317964681968</v>
      </c>
      <c r="J40" s="283">
        <v>0</v>
      </c>
      <c r="K40" s="283">
        <v>84.3909420289855</v>
      </c>
      <c r="L40" s="283">
        <v>1</v>
      </c>
    </row>
    <row r="41" spans="2:12" ht="12.75" outlineLevel="1">
      <c r="B41" s="447"/>
      <c r="C41" s="447"/>
      <c r="D41" s="447"/>
      <c r="E41" s="109"/>
      <c r="F41" s="109"/>
      <c r="G41" s="109"/>
      <c r="H41" s="109"/>
      <c r="I41" s="109"/>
      <c r="J41" s="109"/>
      <c r="K41" s="109"/>
      <c r="L41" s="109"/>
    </row>
    <row r="42" spans="2:12" ht="12.75" outlineLevel="1">
      <c r="B42" s="447" t="s">
        <v>231</v>
      </c>
      <c r="C42" s="447"/>
      <c r="D42" s="447"/>
      <c r="E42" s="283">
        <v>0</v>
      </c>
      <c r="F42" s="283">
        <v>60816.01249999998</v>
      </c>
      <c r="G42" s="283">
        <v>0</v>
      </c>
      <c r="H42" s="283">
        <v>1436437.3924202446</v>
      </c>
      <c r="I42" s="283">
        <v>925385.1661107216</v>
      </c>
      <c r="J42" s="283">
        <v>0</v>
      </c>
      <c r="K42" s="283">
        <v>315290.6197786132</v>
      </c>
      <c r="L42" s="283">
        <v>16964</v>
      </c>
    </row>
    <row r="43" spans="2:12" ht="12.75" outlineLevel="1">
      <c r="B43" s="447" t="s">
        <v>232</v>
      </c>
      <c r="C43" s="447"/>
      <c r="D43" s="447"/>
      <c r="E43" s="283">
        <v>0</v>
      </c>
      <c r="F43" s="283">
        <v>524952.6</v>
      </c>
      <c r="G43" s="283">
        <v>0</v>
      </c>
      <c r="H43" s="283">
        <v>14398230.70652832</v>
      </c>
      <c r="I43" s="283">
        <v>9011370.701061636</v>
      </c>
      <c r="J43" s="283">
        <v>0</v>
      </c>
      <c r="K43" s="283">
        <v>3060500</v>
      </c>
      <c r="L43" s="283">
        <v>170788</v>
      </c>
    </row>
    <row r="44" spans="2:12" ht="12.75" outlineLevel="1">
      <c r="B44" s="447"/>
      <c r="C44" s="447"/>
      <c r="D44" s="447"/>
      <c r="E44" s="109"/>
      <c r="F44" s="109"/>
      <c r="G44" s="109"/>
      <c r="H44" s="109"/>
      <c r="I44" s="109"/>
      <c r="J44" s="109"/>
      <c r="K44" s="109"/>
      <c r="L44" s="109"/>
    </row>
    <row r="45" spans="2:12" ht="12.75" outlineLevel="1">
      <c r="B45" s="447" t="s">
        <v>234</v>
      </c>
      <c r="C45" s="447"/>
      <c r="D45" s="447"/>
      <c r="E45" s="283">
        <v>0</v>
      </c>
      <c r="F45" s="283">
        <v>0</v>
      </c>
      <c r="G45" s="283">
        <v>0</v>
      </c>
      <c r="H45" s="283">
        <v>57994213.36363637</v>
      </c>
      <c r="I45" s="283">
        <v>18317886.433945615</v>
      </c>
      <c r="J45" s="283">
        <v>0</v>
      </c>
      <c r="K45" s="283">
        <v>13652058.823529411</v>
      </c>
      <c r="L45" s="283">
        <v>0</v>
      </c>
    </row>
    <row r="46" spans="2:12" ht="12.75" outlineLevel="1">
      <c r="B46" s="447" t="s">
        <v>275</v>
      </c>
      <c r="C46" s="447"/>
      <c r="D46" s="447"/>
      <c r="E46" s="109"/>
      <c r="F46" s="109"/>
      <c r="G46" s="109"/>
      <c r="H46" s="109"/>
      <c r="I46" s="109"/>
      <c r="J46" s="109"/>
      <c r="K46" s="109"/>
      <c r="L46" s="109"/>
    </row>
    <row r="47" spans="2:12" ht="12.75" outlineLevel="1">
      <c r="B47" s="448" t="s">
        <v>240</v>
      </c>
      <c r="C47" s="447"/>
      <c r="D47" s="447"/>
      <c r="E47" s="109"/>
      <c r="F47" s="109"/>
      <c r="G47" s="109"/>
      <c r="H47" s="109"/>
      <c r="I47" s="109"/>
      <c r="J47" s="109"/>
      <c r="K47" s="109"/>
      <c r="L47" s="109"/>
    </row>
    <row r="48" spans="2:12" ht="12.75" outlineLevel="1">
      <c r="B48" s="447" t="s">
        <v>230</v>
      </c>
      <c r="C48" s="447"/>
      <c r="D48" s="447"/>
      <c r="E48" s="283">
        <v>0</v>
      </c>
      <c r="F48" s="283">
        <v>1</v>
      </c>
      <c r="G48" s="283">
        <v>0</v>
      </c>
      <c r="H48" s="283">
        <v>14.946969696969697</v>
      </c>
      <c r="I48" s="283">
        <v>8</v>
      </c>
      <c r="J48" s="283">
        <v>0</v>
      </c>
      <c r="K48" s="283">
        <v>3.9090579710144926</v>
      </c>
      <c r="L48" s="283">
        <v>0</v>
      </c>
    </row>
    <row r="49" spans="2:12" ht="12.75" outlineLevel="1">
      <c r="B49" s="447"/>
      <c r="C49" s="447"/>
      <c r="D49" s="447"/>
      <c r="E49" s="109"/>
      <c r="F49" s="109"/>
      <c r="G49" s="109"/>
      <c r="H49" s="109"/>
      <c r="I49" s="109"/>
      <c r="J49" s="109"/>
      <c r="K49" s="109"/>
      <c r="L49" s="109"/>
    </row>
    <row r="50" spans="2:12" ht="12.75" outlineLevel="1">
      <c r="B50" s="447" t="s">
        <v>231</v>
      </c>
      <c r="C50" s="447"/>
      <c r="D50" s="447"/>
      <c r="E50" s="283">
        <v>0</v>
      </c>
      <c r="F50" s="283">
        <v>9300</v>
      </c>
      <c r="G50" s="283">
        <v>0</v>
      </c>
      <c r="H50" s="283">
        <v>96262.766610698</v>
      </c>
      <c r="I50" s="283">
        <v>25227.015873015876</v>
      </c>
      <c r="J50" s="283">
        <v>0</v>
      </c>
      <c r="K50" s="283">
        <v>23327.579365079364</v>
      </c>
      <c r="L50" s="283">
        <v>0</v>
      </c>
    </row>
    <row r="51" spans="2:12" ht="12.75" outlineLevel="1">
      <c r="B51" s="447" t="s">
        <v>236</v>
      </c>
      <c r="C51" s="447"/>
      <c r="D51" s="447"/>
      <c r="E51" s="283">
        <v>0</v>
      </c>
      <c r="F51" s="283">
        <v>168656</v>
      </c>
      <c r="G51" s="283">
        <v>0</v>
      </c>
      <c r="H51" s="283">
        <v>1040310.9440559443</v>
      </c>
      <c r="I51" s="283">
        <v>387708.2222222222</v>
      </c>
      <c r="J51" s="283">
        <v>0</v>
      </c>
      <c r="K51" s="283">
        <v>500788.5714285715</v>
      </c>
      <c r="L51" s="283">
        <v>0</v>
      </c>
    </row>
    <row r="52" spans="2:12" ht="12.75" outlineLevel="1">
      <c r="B52" s="447"/>
      <c r="C52" s="447"/>
      <c r="D52" s="447"/>
      <c r="E52" s="109"/>
      <c r="F52" s="109"/>
      <c r="G52" s="109"/>
      <c r="H52" s="109"/>
      <c r="I52" s="109"/>
      <c r="J52" s="109"/>
      <c r="K52" s="109"/>
      <c r="L52" s="109"/>
    </row>
    <row r="53" spans="2:12" ht="12.75" outlineLevel="1">
      <c r="B53" s="447" t="s">
        <v>234</v>
      </c>
      <c r="C53" s="447"/>
      <c r="D53" s="447"/>
      <c r="E53" s="283">
        <v>0</v>
      </c>
      <c r="F53" s="283">
        <v>0</v>
      </c>
      <c r="G53" s="283">
        <v>0</v>
      </c>
      <c r="H53" s="283">
        <v>153627.27272727274</v>
      </c>
      <c r="I53" s="283">
        <v>0</v>
      </c>
      <c r="J53" s="283">
        <v>0</v>
      </c>
      <c r="K53" s="283">
        <v>0</v>
      </c>
      <c r="L53" s="283">
        <v>0</v>
      </c>
    </row>
    <row r="54" spans="2:12" ht="12.75" outlineLevel="1">
      <c r="B54" s="447" t="s">
        <v>275</v>
      </c>
      <c r="C54" s="447"/>
      <c r="D54" s="447"/>
      <c r="E54" s="109"/>
      <c r="F54" s="109"/>
      <c r="G54" s="109"/>
      <c r="H54" s="109"/>
      <c r="I54" s="109"/>
      <c r="J54" s="109"/>
      <c r="K54" s="109"/>
      <c r="L54" s="109"/>
    </row>
    <row r="55" spans="2:12" ht="12.75" outlineLevel="1">
      <c r="B55" s="448" t="s">
        <v>241</v>
      </c>
      <c r="C55" s="447"/>
      <c r="D55" s="447"/>
      <c r="E55" s="109"/>
      <c r="F55" s="109"/>
      <c r="G55" s="109"/>
      <c r="H55" s="109"/>
      <c r="I55" s="109"/>
      <c r="J55" s="109"/>
      <c r="K55" s="109"/>
      <c r="L55" s="109"/>
    </row>
    <row r="56" spans="2:12" ht="12.75" outlineLevel="1">
      <c r="B56" s="447" t="s">
        <v>230</v>
      </c>
      <c r="C56" s="447"/>
      <c r="D56" s="447"/>
      <c r="E56" s="283">
        <v>0</v>
      </c>
      <c r="F56" s="283">
        <v>0</v>
      </c>
      <c r="G56" s="283">
        <v>5</v>
      </c>
      <c r="H56" s="283">
        <v>275.2972335600908</v>
      </c>
      <c r="I56" s="283">
        <v>0</v>
      </c>
      <c r="J56" s="283">
        <v>1</v>
      </c>
      <c r="K56" s="283">
        <v>0</v>
      </c>
      <c r="L56" s="283">
        <v>0</v>
      </c>
    </row>
    <row r="57" spans="2:12" ht="12.75" outlineLevel="1">
      <c r="B57" s="447" t="s">
        <v>242</v>
      </c>
      <c r="C57" s="447"/>
      <c r="D57" s="447"/>
      <c r="E57" s="283">
        <v>0</v>
      </c>
      <c r="F57" s="283">
        <v>0</v>
      </c>
      <c r="G57" s="283">
        <v>35855</v>
      </c>
      <c r="H57" s="283">
        <v>693522.137087691</v>
      </c>
      <c r="I57" s="283">
        <v>0</v>
      </c>
      <c r="J57" s="283">
        <v>5900</v>
      </c>
      <c r="K57" s="283">
        <v>0</v>
      </c>
      <c r="L57" s="283">
        <v>0</v>
      </c>
    </row>
    <row r="58" spans="2:12" ht="12.75" outlineLevel="1">
      <c r="B58" s="447" t="s">
        <v>232</v>
      </c>
      <c r="C58" s="447"/>
      <c r="D58" s="447"/>
      <c r="E58" s="283">
        <v>0</v>
      </c>
      <c r="F58" s="283">
        <v>0</v>
      </c>
      <c r="G58" s="283">
        <v>404848</v>
      </c>
      <c r="H58" s="283">
        <v>6702417.347789819</v>
      </c>
      <c r="I58" s="283">
        <v>0</v>
      </c>
      <c r="J58" s="283">
        <v>65430</v>
      </c>
      <c r="K58" s="283">
        <v>0</v>
      </c>
      <c r="L58" s="283">
        <v>0</v>
      </c>
    </row>
    <row r="59" spans="2:12" ht="12.75" outlineLevel="1">
      <c r="B59" s="447" t="s">
        <v>233</v>
      </c>
      <c r="C59" s="447"/>
      <c r="D59" s="447"/>
      <c r="E59" s="283">
        <v>0</v>
      </c>
      <c r="F59" s="283">
        <v>0</v>
      </c>
      <c r="G59" s="283">
        <v>173654956</v>
      </c>
      <c r="H59" s="283">
        <v>2807015479.9154334</v>
      </c>
      <c r="I59" s="283">
        <v>0</v>
      </c>
      <c r="J59" s="283">
        <v>5054200</v>
      </c>
      <c r="K59" s="283">
        <v>0</v>
      </c>
      <c r="L59" s="283">
        <v>0</v>
      </c>
    </row>
    <row r="60" spans="2:12" ht="12.75" outlineLevel="1">
      <c r="B60" s="447" t="s">
        <v>234</v>
      </c>
      <c r="C60" s="447"/>
      <c r="D60" s="447"/>
      <c r="E60" s="283">
        <v>0</v>
      </c>
      <c r="F60" s="283">
        <v>0</v>
      </c>
      <c r="G60" s="283">
        <v>0</v>
      </c>
      <c r="H60" s="283">
        <v>75202176.36363634</v>
      </c>
      <c r="I60" s="283">
        <v>0</v>
      </c>
      <c r="J60" s="283">
        <v>296</v>
      </c>
      <c r="K60" s="283">
        <v>0</v>
      </c>
      <c r="L60" s="283">
        <v>0</v>
      </c>
    </row>
    <row r="61" spans="2:12" ht="12.75" outlineLevel="1">
      <c r="B61" s="447" t="s">
        <v>275</v>
      </c>
      <c r="C61" s="447"/>
      <c r="D61" s="447"/>
      <c r="E61" s="109"/>
      <c r="F61" s="109"/>
      <c r="G61" s="109"/>
      <c r="H61" s="109"/>
      <c r="I61" s="109"/>
      <c r="J61" s="109"/>
      <c r="K61" s="109"/>
      <c r="L61" s="109"/>
    </row>
    <row r="62" spans="2:12" ht="12.75" outlineLevel="1">
      <c r="B62" s="448" t="s">
        <v>243</v>
      </c>
      <c r="C62" s="447"/>
      <c r="D62" s="447"/>
      <c r="E62" s="109"/>
      <c r="F62" s="109"/>
      <c r="G62" s="109"/>
      <c r="H62" s="109"/>
      <c r="I62" s="109"/>
      <c r="J62" s="109"/>
      <c r="K62" s="109"/>
      <c r="L62" s="109"/>
    </row>
    <row r="63" spans="2:12" ht="12.75" outlineLevel="1">
      <c r="B63" s="447" t="s">
        <v>230</v>
      </c>
      <c r="C63" s="447"/>
      <c r="D63" s="447"/>
      <c r="E63" s="283">
        <v>31</v>
      </c>
      <c r="F63" s="283">
        <v>315.25</v>
      </c>
      <c r="G63" s="283">
        <v>588</v>
      </c>
      <c r="H63" s="283">
        <v>8145.133836322405</v>
      </c>
      <c r="I63" s="283">
        <v>7491.663999686416</v>
      </c>
      <c r="J63" s="283">
        <v>19</v>
      </c>
      <c r="K63" s="283">
        <v>6376.277631476912</v>
      </c>
      <c r="L63" s="283">
        <v>124.14865648945658</v>
      </c>
    </row>
    <row r="64" spans="2:12" ht="12.75" outlineLevel="1">
      <c r="B64" s="447" t="s">
        <v>242</v>
      </c>
      <c r="C64" s="447"/>
      <c r="D64" s="447"/>
      <c r="E64" s="283">
        <v>27406</v>
      </c>
      <c r="F64" s="283">
        <v>163038.25</v>
      </c>
      <c r="G64" s="283">
        <v>134388</v>
      </c>
      <c r="H64" s="283">
        <v>2685845.9661647147</v>
      </c>
      <c r="I64" s="283">
        <v>3041317.1571575454</v>
      </c>
      <c r="J64" s="283">
        <v>22331.916666666668</v>
      </c>
      <c r="K64" s="283">
        <v>2473329.1983117294</v>
      </c>
      <c r="L64" s="283">
        <v>134688.87522740022</v>
      </c>
    </row>
    <row r="65" spans="2:12" ht="12.75" outlineLevel="1">
      <c r="B65" s="447" t="s">
        <v>232</v>
      </c>
      <c r="C65" s="447"/>
      <c r="D65" s="447"/>
      <c r="E65" s="283">
        <v>274359</v>
      </c>
      <c r="F65" s="283">
        <v>1342584.2</v>
      </c>
      <c r="G65" s="283">
        <v>1126550</v>
      </c>
      <c r="H65" s="283">
        <v>24431689.9313544</v>
      </c>
      <c r="I65" s="283">
        <v>25934140.50586204</v>
      </c>
      <c r="J65" s="283">
        <v>218273</v>
      </c>
      <c r="K65" s="283">
        <v>18252830.729917537</v>
      </c>
      <c r="L65" s="283">
        <v>1101312.976375464</v>
      </c>
    </row>
    <row r="66" spans="2:12" ht="12.75" outlineLevel="1">
      <c r="B66" s="447" t="s">
        <v>233</v>
      </c>
      <c r="C66" s="447"/>
      <c r="D66" s="447"/>
      <c r="E66" s="283">
        <v>99246802</v>
      </c>
      <c r="F66" s="283">
        <v>439948595.29999995</v>
      </c>
      <c r="G66" s="283">
        <v>378774636</v>
      </c>
      <c r="H66" s="283">
        <v>7673394276.090908</v>
      </c>
      <c r="I66" s="283">
        <v>8318710907.064467</v>
      </c>
      <c r="J66" s="283">
        <v>80215075</v>
      </c>
      <c r="K66" s="283">
        <v>5956274644.426784</v>
      </c>
      <c r="L66" s="283">
        <v>314965717.6974478</v>
      </c>
    </row>
    <row r="67" spans="2:12" ht="12.75" outlineLevel="1">
      <c r="B67" s="447" t="s">
        <v>234</v>
      </c>
      <c r="C67" s="447"/>
      <c r="D67" s="447"/>
      <c r="E67" s="283">
        <v>2059440</v>
      </c>
      <c r="F67" s="283">
        <v>0</v>
      </c>
      <c r="G67" s="283">
        <v>8233302</v>
      </c>
      <c r="H67" s="283">
        <v>275219674.3636363</v>
      </c>
      <c r="I67" s="283">
        <v>6011116.256519199</v>
      </c>
      <c r="J67" s="283">
        <v>2608404</v>
      </c>
      <c r="K67" s="283">
        <v>93023806.75770104</v>
      </c>
      <c r="L67" s="283">
        <v>0</v>
      </c>
    </row>
    <row r="68" spans="2:12" ht="12.75" outlineLevel="1">
      <c r="B68" s="447" t="s">
        <v>275</v>
      </c>
      <c r="C68" s="447"/>
      <c r="D68" s="447"/>
      <c r="E68" s="109"/>
      <c r="F68" s="109"/>
      <c r="G68" s="109"/>
      <c r="H68" s="109"/>
      <c r="I68" s="109"/>
      <c r="J68" s="109"/>
      <c r="K68" s="109"/>
      <c r="L68" s="109"/>
    </row>
    <row r="69" spans="2:12" ht="12.75" outlineLevel="1">
      <c r="B69" s="448" t="s">
        <v>244</v>
      </c>
      <c r="C69" s="447"/>
      <c r="D69" s="447"/>
      <c r="E69" s="109"/>
      <c r="F69" s="109"/>
      <c r="G69" s="109"/>
      <c r="H69" s="109"/>
      <c r="I69" s="109"/>
      <c r="J69" s="109"/>
      <c r="K69" s="109"/>
      <c r="L69" s="109"/>
    </row>
    <row r="70" spans="2:12" ht="12.75" outlineLevel="1">
      <c r="B70" s="447" t="s">
        <v>230</v>
      </c>
      <c r="C70" s="447"/>
      <c r="D70" s="447"/>
      <c r="E70" s="283">
        <v>189</v>
      </c>
      <c r="F70" s="283">
        <v>1227.1666666666667</v>
      </c>
      <c r="G70" s="283">
        <v>755.0271222970613</v>
      </c>
      <c r="H70" s="283">
        <v>13875.097274788704</v>
      </c>
      <c r="I70" s="283">
        <v>13711.465422288691</v>
      </c>
      <c r="J70" s="283">
        <v>127.5</v>
      </c>
      <c r="K70" s="283">
        <v>10177.245602788094</v>
      </c>
      <c r="L70" s="283">
        <v>1234.7275149812124</v>
      </c>
    </row>
    <row r="71" spans="2:12" ht="12.75" outlineLevel="1">
      <c r="B71" s="447" t="s">
        <v>242</v>
      </c>
      <c r="C71" s="447"/>
      <c r="D71" s="447"/>
      <c r="E71" s="283">
        <v>36884</v>
      </c>
      <c r="F71" s="283">
        <v>117252.25</v>
      </c>
      <c r="G71" s="283">
        <v>37065.86513259692</v>
      </c>
      <c r="H71" s="283">
        <v>1001458.4281879193</v>
      </c>
      <c r="I71" s="283">
        <v>1279040.8635049441</v>
      </c>
      <c r="J71" s="283">
        <v>20380.166666666668</v>
      </c>
      <c r="K71" s="283">
        <v>999964.6108130898</v>
      </c>
      <c r="L71" s="283">
        <v>286608.8256281273</v>
      </c>
    </row>
    <row r="72" spans="2:12" ht="12.75" outlineLevel="1">
      <c r="B72" s="447" t="s">
        <v>232</v>
      </c>
      <c r="C72" s="447"/>
      <c r="D72" s="447"/>
      <c r="E72" s="283">
        <v>343533</v>
      </c>
      <c r="F72" s="283">
        <v>949240</v>
      </c>
      <c r="G72" s="283">
        <v>271896.2500415578</v>
      </c>
      <c r="H72" s="283">
        <v>8069353.959183672</v>
      </c>
      <c r="I72" s="283">
        <v>9811008.00190151</v>
      </c>
      <c r="J72" s="283">
        <v>192959</v>
      </c>
      <c r="K72" s="283">
        <v>7308575.519173019</v>
      </c>
      <c r="L72" s="283">
        <v>2111305.541156277</v>
      </c>
    </row>
    <row r="73" spans="2:12" ht="12.75" outlineLevel="1">
      <c r="B73" s="447" t="s">
        <v>233</v>
      </c>
      <c r="C73" s="447"/>
      <c r="D73" s="447"/>
      <c r="E73" s="283">
        <v>95770032</v>
      </c>
      <c r="F73" s="283">
        <v>253035750.8</v>
      </c>
      <c r="G73" s="283">
        <v>72247391.8932347</v>
      </c>
      <c r="H73" s="283">
        <v>2174199787.1764703</v>
      </c>
      <c r="I73" s="283">
        <v>2607947046.1899257</v>
      </c>
      <c r="J73" s="283">
        <v>51341646</v>
      </c>
      <c r="K73" s="283">
        <v>1860197172.698553</v>
      </c>
      <c r="L73" s="283">
        <v>557775692.8716384</v>
      </c>
    </row>
    <row r="74" spans="2:12" ht="12.75" outlineLevel="1">
      <c r="B74" s="447" t="s">
        <v>234</v>
      </c>
      <c r="C74" s="447"/>
      <c r="D74" s="447"/>
      <c r="E74" s="283">
        <v>1509207</v>
      </c>
      <c r="F74" s="283">
        <v>0</v>
      </c>
      <c r="G74" s="283">
        <v>154174.96908329273</v>
      </c>
      <c r="H74" s="283">
        <v>40773203.81818183</v>
      </c>
      <c r="I74" s="283">
        <v>0</v>
      </c>
      <c r="J74" s="283">
        <v>1021367</v>
      </c>
      <c r="K74" s="283">
        <v>26609153.04678166</v>
      </c>
      <c r="L74" s="283">
        <v>0</v>
      </c>
    </row>
    <row r="75" spans="2:12" ht="12.75" outlineLevel="1">
      <c r="B75" s="447" t="s">
        <v>275</v>
      </c>
      <c r="C75" s="447"/>
      <c r="D75" s="447"/>
      <c r="E75" s="477"/>
      <c r="F75" s="109"/>
      <c r="G75" s="109"/>
      <c r="H75" s="109"/>
      <c r="I75" s="109"/>
      <c r="J75" s="109"/>
      <c r="K75" s="109"/>
      <c r="L75" s="109"/>
    </row>
    <row r="76" spans="2:12" ht="12.75" outlineLevel="1">
      <c r="B76" s="448" t="s">
        <v>245</v>
      </c>
      <c r="C76" s="447"/>
      <c r="D76" s="447"/>
      <c r="E76" s="109"/>
      <c r="F76" s="109"/>
      <c r="G76" s="109"/>
      <c r="H76" s="109"/>
      <c r="I76" s="109"/>
      <c r="J76" s="109"/>
      <c r="K76" s="109"/>
      <c r="L76" s="109"/>
    </row>
    <row r="77" spans="2:12" ht="12.75" outlineLevel="1">
      <c r="B77" s="447" t="s">
        <v>230</v>
      </c>
      <c r="C77" s="447"/>
      <c r="D77" s="447"/>
      <c r="E77" s="283">
        <v>307</v>
      </c>
      <c r="F77" s="283">
        <v>452</v>
      </c>
      <c r="G77" s="283">
        <v>0</v>
      </c>
      <c r="H77" s="283">
        <v>3762.6042424242423</v>
      </c>
      <c r="I77" s="283">
        <v>6360.047002888674</v>
      </c>
      <c r="J77" s="283">
        <v>87.8</v>
      </c>
      <c r="K77" s="283">
        <v>178.11508773045713</v>
      </c>
      <c r="L77" s="283">
        <v>138.20678770560357</v>
      </c>
    </row>
    <row r="78" spans="2:12" ht="12.75" outlineLevel="1">
      <c r="B78" s="447" t="s">
        <v>242</v>
      </c>
      <c r="C78" s="447"/>
      <c r="D78" s="447"/>
      <c r="E78" s="283">
        <v>23466</v>
      </c>
      <c r="F78" s="283">
        <v>22460</v>
      </c>
      <c r="G78" s="283">
        <v>0</v>
      </c>
      <c r="H78" s="283">
        <v>91165.26094957672</v>
      </c>
      <c r="I78" s="283">
        <v>247199.42784652006</v>
      </c>
      <c r="J78" s="283">
        <v>5437.75</v>
      </c>
      <c r="K78" s="283">
        <v>7774.108378192461</v>
      </c>
      <c r="L78" s="283">
        <v>22424.59495861271</v>
      </c>
    </row>
    <row r="79" spans="2:12" ht="12.75" outlineLevel="1">
      <c r="B79" s="447" t="s">
        <v>246</v>
      </c>
      <c r="C79" s="447"/>
      <c r="D79" s="447"/>
      <c r="E79" s="283">
        <v>15955565</v>
      </c>
      <c r="F79" s="283">
        <v>8221796</v>
      </c>
      <c r="G79" s="283">
        <v>0</v>
      </c>
      <c r="H79" s="283">
        <v>70996576.92307693</v>
      </c>
      <c r="I79" s="283">
        <v>174226771.70179552</v>
      </c>
      <c r="J79" s="283">
        <v>4904362</v>
      </c>
      <c r="K79" s="283">
        <v>7904490.999107439</v>
      </c>
      <c r="L79" s="283">
        <v>6139185.238235198</v>
      </c>
    </row>
    <row r="80" spans="2:12" ht="12.75" outlineLevel="1">
      <c r="B80" s="447" t="s">
        <v>233</v>
      </c>
      <c r="C80" s="447"/>
      <c r="D80" s="447"/>
      <c r="E80" s="283">
        <v>32687208</v>
      </c>
      <c r="F80" s="283">
        <v>15989867.466666667</v>
      </c>
      <c r="G80" s="283">
        <v>0</v>
      </c>
      <c r="H80" s="283">
        <v>106841993.3110368</v>
      </c>
      <c r="I80" s="283">
        <v>278153588.64424276</v>
      </c>
      <c r="J80" s="283">
        <v>9112678</v>
      </c>
      <c r="K80" s="283">
        <v>11513305.998780282</v>
      </c>
      <c r="L80" s="283">
        <v>7890424.120565626</v>
      </c>
    </row>
    <row r="81" spans="2:12" ht="12.75" outlineLevel="1">
      <c r="B81" s="447" t="s">
        <v>234</v>
      </c>
      <c r="C81" s="447"/>
      <c r="D81" s="447"/>
      <c r="E81" s="283">
        <v>812096</v>
      </c>
      <c r="F81" s="283">
        <v>0</v>
      </c>
      <c r="G81" s="283">
        <v>0</v>
      </c>
      <c r="H81" s="283">
        <v>0</v>
      </c>
      <c r="I81" s="283">
        <v>0</v>
      </c>
      <c r="J81" s="283">
        <v>230229</v>
      </c>
      <c r="K81" s="283">
        <v>619986.3327721967</v>
      </c>
      <c r="L81" s="283">
        <v>0</v>
      </c>
    </row>
    <row r="82" spans="2:12" ht="12.75" outlineLevel="1">
      <c r="B82" s="447" t="s">
        <v>275</v>
      </c>
      <c r="C82" s="447"/>
      <c r="D82" s="447"/>
      <c r="E82" s="477"/>
      <c r="F82" s="109"/>
      <c r="G82" s="109"/>
      <c r="H82" s="109"/>
      <c r="I82" s="109"/>
      <c r="J82" s="109"/>
      <c r="K82" s="109"/>
      <c r="L82" s="109"/>
    </row>
    <row r="83" spans="2:12" ht="12.75" outlineLevel="1">
      <c r="B83" s="448" t="s">
        <v>247</v>
      </c>
      <c r="C83" s="454"/>
      <c r="D83" s="454"/>
      <c r="E83" s="477"/>
      <c r="F83" s="109"/>
      <c r="G83" s="109"/>
      <c r="H83" s="109"/>
      <c r="I83" s="109"/>
      <c r="J83" s="109"/>
      <c r="K83" s="109"/>
      <c r="L83" s="109"/>
    </row>
    <row r="84" spans="2:12" ht="12.75" outlineLevel="1">
      <c r="B84" s="447" t="s">
        <v>230</v>
      </c>
      <c r="C84" s="454"/>
      <c r="D84" s="454"/>
      <c r="E84" s="283">
        <v>1056</v>
      </c>
      <c r="F84" s="283">
        <v>5670.153333333333</v>
      </c>
      <c r="G84" s="283">
        <v>719.8804083404822</v>
      </c>
      <c r="H84" s="283">
        <v>79041.91974451997</v>
      </c>
      <c r="I84" s="283">
        <v>73885.69834513013</v>
      </c>
      <c r="J84" s="283">
        <v>1084.5</v>
      </c>
      <c r="K84" s="283">
        <v>58654</v>
      </c>
      <c r="L84" s="283">
        <v>4358.397843736571</v>
      </c>
    </row>
    <row r="85" spans="2:12" ht="12.75" outlineLevel="1">
      <c r="B85" s="447" t="s">
        <v>242</v>
      </c>
      <c r="C85" s="454"/>
      <c r="D85" s="454"/>
      <c r="E85" s="283">
        <v>12901</v>
      </c>
      <c r="F85" s="283">
        <v>126237.27500000001</v>
      </c>
      <c r="G85" s="283">
        <v>20968.2493767745</v>
      </c>
      <c r="H85" s="283">
        <v>2293885.322594608</v>
      </c>
      <c r="I85" s="283">
        <v>2261714.6976255705</v>
      </c>
      <c r="J85" s="283">
        <v>13472</v>
      </c>
      <c r="K85" s="283">
        <v>1869561.7117117115</v>
      </c>
      <c r="L85" s="283">
        <v>127333.74735739964</v>
      </c>
    </row>
    <row r="86" spans="2:12" ht="12.75" outlineLevel="1">
      <c r="B86" s="447" t="s">
        <v>246</v>
      </c>
      <c r="C86" s="454"/>
      <c r="D86" s="454"/>
      <c r="E86" s="283">
        <v>13979541</v>
      </c>
      <c r="F86" s="283">
        <v>83868963.1056752</v>
      </c>
      <c r="G86" s="283">
        <v>9934909.959504733</v>
      </c>
      <c r="H86" s="283">
        <v>1083733881.5012648</v>
      </c>
      <c r="I86" s="283">
        <v>977170421.5103794</v>
      </c>
      <c r="J86" s="283">
        <v>10636874</v>
      </c>
      <c r="K86" s="283">
        <v>639087219.7741284</v>
      </c>
      <c r="L86" s="283">
        <v>66205515.65365177</v>
      </c>
    </row>
    <row r="87" spans="2:12" ht="12.75" outlineLevel="1">
      <c r="B87" s="447" t="s">
        <v>233</v>
      </c>
      <c r="C87" s="454"/>
      <c r="D87" s="454"/>
      <c r="E87" s="283">
        <v>27223165</v>
      </c>
      <c r="F87" s="283">
        <v>105600835.45333093</v>
      </c>
      <c r="G87" s="283">
        <v>11656709.720786123</v>
      </c>
      <c r="H87" s="283">
        <v>1471462182.1942656</v>
      </c>
      <c r="I87" s="283">
        <v>1373275503.882779</v>
      </c>
      <c r="J87" s="283">
        <v>23961893</v>
      </c>
      <c r="K87" s="283">
        <v>992993777.803364</v>
      </c>
      <c r="L87" s="283">
        <v>84744192.257001</v>
      </c>
    </row>
    <row r="88" spans="2:12" ht="12.75" outlineLevel="1">
      <c r="B88" s="447" t="s">
        <v>275</v>
      </c>
      <c r="C88" s="454"/>
      <c r="D88" s="454"/>
      <c r="E88" s="477"/>
      <c r="F88" s="109"/>
      <c r="G88" s="109"/>
      <c r="H88" s="109"/>
      <c r="I88" s="109"/>
      <c r="J88" s="109"/>
      <c r="K88" s="109"/>
      <c r="L88" s="109"/>
    </row>
    <row r="89" spans="2:12" ht="12.75" outlineLevel="1">
      <c r="B89" s="448" t="s">
        <v>248</v>
      </c>
      <c r="C89" s="454"/>
      <c r="D89" s="454"/>
      <c r="E89" s="477"/>
      <c r="F89" s="109"/>
      <c r="G89" s="109"/>
      <c r="H89" s="109"/>
      <c r="I89" s="109"/>
      <c r="J89" s="109"/>
      <c r="K89" s="109"/>
      <c r="L89" s="109"/>
    </row>
    <row r="90" spans="2:12" ht="12.75" outlineLevel="1">
      <c r="B90" s="447" t="s">
        <v>230</v>
      </c>
      <c r="C90" s="454"/>
      <c r="D90" s="454"/>
      <c r="E90" s="478">
        <v>514</v>
      </c>
      <c r="F90" s="283">
        <v>2001.5725</v>
      </c>
      <c r="G90" s="283">
        <v>2261.5815643671017</v>
      </c>
      <c r="H90" s="283">
        <v>31642.003652009218</v>
      </c>
      <c r="I90" s="283">
        <v>42275.223428813886</v>
      </c>
      <c r="J90" s="283">
        <v>0</v>
      </c>
      <c r="K90" s="283">
        <v>8600.777777777776</v>
      </c>
      <c r="L90" s="283">
        <v>0</v>
      </c>
    </row>
    <row r="91" spans="2:12" ht="12.75" outlineLevel="1">
      <c r="B91" s="447" t="s">
        <v>242</v>
      </c>
      <c r="C91" s="454"/>
      <c r="D91" s="454"/>
      <c r="E91" s="283">
        <v>6279</v>
      </c>
      <c r="F91" s="283">
        <v>42964.7</v>
      </c>
      <c r="G91" s="283">
        <v>82089.13553487316</v>
      </c>
      <c r="H91" s="283">
        <v>920371.4695874379</v>
      </c>
      <c r="I91" s="283">
        <v>1408371.124665836</v>
      </c>
      <c r="J91" s="283">
        <v>0</v>
      </c>
      <c r="K91" s="283">
        <v>244914.4144144144</v>
      </c>
      <c r="L91" s="283">
        <v>0</v>
      </c>
    </row>
    <row r="92" spans="2:12" ht="12.75" outlineLevel="1">
      <c r="B92" s="447" t="s">
        <v>249</v>
      </c>
      <c r="C92" s="454"/>
      <c r="D92" s="454"/>
      <c r="E92" s="283">
        <v>14275627</v>
      </c>
      <c r="F92" s="283">
        <v>33044894.065121543</v>
      </c>
      <c r="G92" s="283">
        <v>58131703.80949913</v>
      </c>
      <c r="H92" s="283">
        <v>767515660.1751466</v>
      </c>
      <c r="I92" s="283">
        <v>940846789.5786457</v>
      </c>
      <c r="J92" s="283">
        <v>0</v>
      </c>
      <c r="K92" s="283">
        <v>173774094.48901787</v>
      </c>
      <c r="L92" s="283">
        <v>0</v>
      </c>
    </row>
    <row r="93" spans="2:12" ht="12.75" outlineLevel="1">
      <c r="B93" s="447" t="s">
        <v>275</v>
      </c>
      <c r="C93" s="454"/>
      <c r="D93" s="454"/>
      <c r="E93" s="109"/>
      <c r="F93" s="109"/>
      <c r="G93" s="109"/>
      <c r="H93" s="109"/>
      <c r="I93" s="109"/>
      <c r="J93" s="109"/>
      <c r="K93" s="109"/>
      <c r="L93" s="109"/>
    </row>
    <row r="94" spans="2:12" ht="12.75" outlineLevel="1">
      <c r="B94" s="448" t="s">
        <v>250</v>
      </c>
      <c r="C94" s="454"/>
      <c r="D94" s="454"/>
      <c r="E94" s="109"/>
      <c r="F94" s="109"/>
      <c r="G94" s="109"/>
      <c r="H94" s="109"/>
      <c r="I94" s="109"/>
      <c r="J94" s="109"/>
      <c r="K94" s="109"/>
      <c r="L94" s="109"/>
    </row>
    <row r="95" spans="2:12" ht="12.75" outlineLevel="1">
      <c r="B95" s="447" t="s">
        <v>230</v>
      </c>
      <c r="C95" s="454"/>
      <c r="D95" s="454"/>
      <c r="E95" s="283">
        <v>30659</v>
      </c>
      <c r="F95" s="283">
        <v>72379.44583333335</v>
      </c>
      <c r="G95" s="283">
        <v>7357.255189004737</v>
      </c>
      <c r="H95" s="283">
        <v>1051385.071268062</v>
      </c>
      <c r="I95" s="283">
        <v>792290.8463274727</v>
      </c>
      <c r="J95" s="283">
        <v>16985.6</v>
      </c>
      <c r="K95" s="283">
        <v>1231216.13</v>
      </c>
      <c r="L95" s="283">
        <v>39703.278068608524</v>
      </c>
    </row>
    <row r="96" spans="2:12" ht="12.75" outlineLevel="1">
      <c r="B96" s="447" t="s">
        <v>246</v>
      </c>
      <c r="C96" s="454"/>
      <c r="D96" s="454"/>
      <c r="E96" s="283">
        <v>63304265</v>
      </c>
      <c r="F96" s="283">
        <v>187921252.8254965</v>
      </c>
      <c r="G96" s="283">
        <v>18943261.802133363</v>
      </c>
      <c r="H96" s="283">
        <v>2434460330.3267136</v>
      </c>
      <c r="I96" s="283">
        <v>2038349189.369149</v>
      </c>
      <c r="J96" s="283">
        <v>33407566</v>
      </c>
      <c r="K96" s="283">
        <v>2388083646.1038523</v>
      </c>
      <c r="L96" s="283">
        <v>74170631.37703112</v>
      </c>
    </row>
    <row r="97" spans="2:12" ht="12.75" outlineLevel="1">
      <c r="B97" s="447" t="s">
        <v>233</v>
      </c>
      <c r="C97" s="454"/>
      <c r="D97" s="454"/>
      <c r="E97" s="283">
        <v>72835431</v>
      </c>
      <c r="F97" s="283">
        <v>175995459.21809116</v>
      </c>
      <c r="G97" s="283">
        <v>19214011.007465962</v>
      </c>
      <c r="H97" s="283">
        <v>2538428098.2852297</v>
      </c>
      <c r="I97" s="283">
        <v>2085848224.02886</v>
      </c>
      <c r="J97" s="283">
        <v>37443399</v>
      </c>
      <c r="K97" s="283">
        <v>2411095123.6427407</v>
      </c>
      <c r="L97" s="283">
        <v>91715461.57531302</v>
      </c>
    </row>
    <row r="98" spans="2:12" ht="12.75" outlineLevel="1">
      <c r="B98" s="447" t="s">
        <v>275</v>
      </c>
      <c r="C98" s="454"/>
      <c r="D98" s="454"/>
      <c r="E98" s="109"/>
      <c r="F98" s="109"/>
      <c r="G98" s="109"/>
      <c r="H98" s="109"/>
      <c r="I98" s="109"/>
      <c r="J98" s="109"/>
      <c r="K98" s="109"/>
      <c r="L98" s="109"/>
    </row>
    <row r="99" spans="2:12" ht="12.75" outlineLevel="1">
      <c r="B99" s="448" t="s">
        <v>251</v>
      </c>
      <c r="C99" s="454"/>
      <c r="D99" s="454"/>
      <c r="E99" s="109"/>
      <c r="F99" s="109"/>
      <c r="G99" s="109"/>
      <c r="H99" s="109"/>
      <c r="I99" s="109"/>
      <c r="J99" s="109"/>
      <c r="K99" s="109"/>
      <c r="L99" s="109"/>
    </row>
    <row r="100" spans="2:12" ht="12.75" outlineLevel="1">
      <c r="B100" s="447" t="s">
        <v>230</v>
      </c>
      <c r="C100" s="454"/>
      <c r="D100" s="454"/>
      <c r="E100" s="283">
        <v>18395</v>
      </c>
      <c r="F100" s="283">
        <v>114971.20500000002</v>
      </c>
      <c r="G100" s="283">
        <v>89176.10919011297</v>
      </c>
      <c r="H100" s="283">
        <v>1298740.7700251548</v>
      </c>
      <c r="I100" s="283">
        <v>1877129.1613309004</v>
      </c>
      <c r="J100" s="283">
        <v>12267</v>
      </c>
      <c r="K100" s="283">
        <v>533867.3333333333</v>
      </c>
      <c r="L100" s="283">
        <v>5624.993333333334</v>
      </c>
    </row>
    <row r="101" spans="2:12" ht="12.75" outlineLevel="1">
      <c r="B101" s="447" t="s">
        <v>249</v>
      </c>
      <c r="C101" s="454"/>
      <c r="D101" s="454"/>
      <c r="E101" s="283">
        <v>51158487</v>
      </c>
      <c r="F101" s="283">
        <v>331613546.79264736</v>
      </c>
      <c r="G101" s="283">
        <v>297352385.7110364</v>
      </c>
      <c r="H101" s="283">
        <v>4363077221.666331</v>
      </c>
      <c r="I101" s="283">
        <v>5799198801.978471</v>
      </c>
      <c r="J101" s="283">
        <v>32427231</v>
      </c>
      <c r="K101" s="283">
        <v>1497255955.4705906</v>
      </c>
      <c r="L101" s="283">
        <v>14448471.232876714</v>
      </c>
    </row>
    <row r="102" spans="2:12" ht="12.75" outlineLevel="1">
      <c r="B102" s="447" t="s">
        <v>275</v>
      </c>
      <c r="C102" s="454"/>
      <c r="D102" s="454"/>
      <c r="E102" s="109"/>
      <c r="F102" s="109"/>
      <c r="G102" s="109"/>
      <c r="H102" s="109"/>
      <c r="I102" s="109"/>
      <c r="J102" s="109"/>
      <c r="K102" s="109"/>
      <c r="L102" s="109"/>
    </row>
    <row r="103" spans="2:12" ht="12.75" outlineLevel="1">
      <c r="B103" s="448" t="s">
        <v>257</v>
      </c>
      <c r="C103" s="454"/>
      <c r="D103" s="454"/>
      <c r="E103" s="109"/>
      <c r="F103" s="109"/>
      <c r="G103" s="109"/>
      <c r="H103" s="109"/>
      <c r="I103" s="109"/>
      <c r="J103" s="109"/>
      <c r="K103" s="109"/>
      <c r="L103" s="109"/>
    </row>
    <row r="104" spans="2:12" ht="12.75" outlineLevel="1">
      <c r="B104" s="447" t="s">
        <v>230</v>
      </c>
      <c r="C104" s="454"/>
      <c r="D104" s="454"/>
      <c r="E104" s="283">
        <v>21440</v>
      </c>
      <c r="F104" s="283">
        <v>81115.33333333333</v>
      </c>
      <c r="G104" s="283">
        <v>40214.5</v>
      </c>
      <c r="H104" s="283">
        <v>889401.0101010099</v>
      </c>
      <c r="I104" s="283">
        <v>502430.12179984484</v>
      </c>
      <c r="J104" s="283">
        <v>17296</v>
      </c>
      <c r="K104" s="283">
        <v>588466.0370370371</v>
      </c>
      <c r="L104" s="283">
        <v>22644</v>
      </c>
    </row>
    <row r="105" spans="2:12" ht="12.75" outlineLevel="1">
      <c r="B105" s="447" t="s">
        <v>246</v>
      </c>
      <c r="C105" s="454"/>
      <c r="D105" s="454"/>
      <c r="E105" s="283">
        <v>3691840</v>
      </c>
      <c r="F105" s="283">
        <v>0</v>
      </c>
      <c r="G105" s="283">
        <v>8702694.294645643</v>
      </c>
      <c r="H105" s="283">
        <v>136155581.49494952</v>
      </c>
      <c r="I105" s="283">
        <v>98509241.62736537</v>
      </c>
      <c r="J105" s="283">
        <v>2384588</v>
      </c>
      <c r="K105" s="283">
        <v>113637176.22941507</v>
      </c>
      <c r="L105" s="283">
        <v>4058235</v>
      </c>
    </row>
    <row r="106" spans="2:12" ht="12.75" outlineLevel="1">
      <c r="B106" s="447" t="s">
        <v>233</v>
      </c>
      <c r="C106" s="454"/>
      <c r="D106" s="454"/>
      <c r="E106" s="283">
        <v>1570396</v>
      </c>
      <c r="F106" s="283">
        <v>14728181.309929002</v>
      </c>
      <c r="G106" s="283">
        <v>5604928.27370202</v>
      </c>
      <c r="H106" s="283">
        <v>51776188.959595956</v>
      </c>
      <c r="I106" s="283">
        <v>41490836.81900317</v>
      </c>
      <c r="J106" s="283">
        <v>778875</v>
      </c>
      <c r="K106" s="283">
        <v>34118311.926657744</v>
      </c>
      <c r="L106" s="283">
        <v>2104270</v>
      </c>
    </row>
    <row r="107" spans="2:12" ht="12.75" outlineLevel="1">
      <c r="B107" s="447"/>
      <c r="C107" s="447"/>
      <c r="D107" s="447"/>
      <c r="E107" s="109"/>
      <c r="F107" s="109"/>
      <c r="G107" s="109"/>
      <c r="H107" s="109"/>
      <c r="I107" s="109"/>
      <c r="J107" s="109"/>
      <c r="K107" s="109"/>
      <c r="L107" s="109"/>
    </row>
    <row r="108" spans="2:12" ht="12.75" outlineLevel="1">
      <c r="B108" s="448" t="s">
        <v>263</v>
      </c>
      <c r="C108" s="471"/>
      <c r="D108" s="471"/>
      <c r="E108" s="109"/>
      <c r="F108" s="109"/>
      <c r="G108" s="109"/>
      <c r="H108" s="109"/>
      <c r="I108" s="109"/>
      <c r="J108" s="109"/>
      <c r="K108" s="109"/>
      <c r="L108" s="109"/>
    </row>
    <row r="109" spans="2:12" ht="12.75" outlineLevel="1">
      <c r="B109" s="447" t="s">
        <v>264</v>
      </c>
      <c r="C109" s="472"/>
      <c r="D109" s="472"/>
      <c r="E109" s="38">
        <f>E104</f>
        <v>21440</v>
      </c>
      <c r="F109" s="38">
        <f aca="true" t="shared" si="0" ref="F109:L109">F104</f>
        <v>81115.33333333333</v>
      </c>
      <c r="G109" s="38">
        <f>G104</f>
        <v>40214.5</v>
      </c>
      <c r="H109" s="38">
        <f t="shared" si="0"/>
        <v>889401.0101010099</v>
      </c>
      <c r="I109" s="38">
        <f t="shared" si="0"/>
        <v>502430.12179984484</v>
      </c>
      <c r="J109" s="38">
        <f t="shared" si="0"/>
        <v>17296</v>
      </c>
      <c r="K109" s="38">
        <f>K104</f>
        <v>588466.0370370371</v>
      </c>
      <c r="L109" s="38">
        <f t="shared" si="0"/>
        <v>22644</v>
      </c>
    </row>
    <row r="110" spans="2:12" ht="12.75" outlineLevel="1">
      <c r="B110" s="447" t="s">
        <v>265</v>
      </c>
      <c r="C110" s="472"/>
      <c r="D110" s="472"/>
      <c r="E110" s="38">
        <f>E100+E95+E90+E84</f>
        <v>50624</v>
      </c>
      <c r="F110" s="38">
        <f aca="true" t="shared" si="1" ref="F110:L110">F100+F95+F90+F84</f>
        <v>195022.3766666667</v>
      </c>
      <c r="G110" s="38">
        <f>G100+G95+G90+G84</f>
        <v>99514.8263518253</v>
      </c>
      <c r="H110" s="38">
        <f>H100+H95+H90+H84</f>
        <v>2460809.764689746</v>
      </c>
      <c r="I110" s="38">
        <f t="shared" si="1"/>
        <v>2785580.929432317</v>
      </c>
      <c r="J110" s="38">
        <f t="shared" si="1"/>
        <v>30337.1</v>
      </c>
      <c r="K110" s="38">
        <f>K100+K95+K90+K84</f>
        <v>1832338.241111111</v>
      </c>
      <c r="L110" s="38">
        <f t="shared" si="1"/>
        <v>49686.66924567843</v>
      </c>
    </row>
    <row r="111" spans="2:12" ht="12.75" outlineLevel="1">
      <c r="B111" s="447"/>
      <c r="C111" s="472"/>
      <c r="D111" s="472"/>
      <c r="E111" s="109"/>
      <c r="F111" s="109"/>
      <c r="G111" s="109"/>
      <c r="H111" s="109"/>
      <c r="I111" s="109"/>
      <c r="J111" s="109"/>
      <c r="K111" s="109"/>
      <c r="L111" s="109"/>
    </row>
    <row r="112" spans="2:12" ht="12.75" outlineLevel="1">
      <c r="B112" s="448" t="s">
        <v>266</v>
      </c>
      <c r="C112" s="471"/>
      <c r="D112" s="471"/>
      <c r="E112" s="109"/>
      <c r="F112" s="109"/>
      <c r="G112" s="109"/>
      <c r="H112" s="109"/>
      <c r="I112" s="109"/>
      <c r="J112" s="109"/>
      <c r="K112" s="109"/>
      <c r="L112" s="109"/>
    </row>
    <row r="113" spans="2:12" ht="12.75" outlineLevel="1">
      <c r="B113" s="447" t="s">
        <v>267</v>
      </c>
      <c r="C113" s="472"/>
      <c r="D113" s="472"/>
      <c r="E113" s="419">
        <f>Volumes!E$7*E104</f>
        <v>21440</v>
      </c>
      <c r="F113" s="419">
        <f>Volumes!F$7*F104</f>
        <v>81115.33333333333</v>
      </c>
      <c r="G113" s="419">
        <f>Volumes!G$7*G104</f>
        <v>40214.5</v>
      </c>
      <c r="H113" s="419">
        <f>Volumes!H$7*H104</f>
        <v>889401.0101010099</v>
      </c>
      <c r="I113" s="419">
        <f>Volumes!I$7*I104</f>
        <v>502430.12179984484</v>
      </c>
      <c r="J113" s="419">
        <f>Volumes!J$7*J104</f>
        <v>17296</v>
      </c>
      <c r="K113" s="419">
        <f>Volumes!K$7*K104</f>
        <v>588466.0370370371</v>
      </c>
      <c r="L113" s="419">
        <f>Volumes!L$7*L104</f>
        <v>22644</v>
      </c>
    </row>
    <row r="114" spans="2:12" ht="12.75" outlineLevel="1">
      <c r="B114" s="447" t="s">
        <v>268</v>
      </c>
      <c r="C114" s="472"/>
      <c r="D114" s="472"/>
      <c r="E114" s="419">
        <f>Volumes!E$8*(E100+E95)</f>
        <v>49054</v>
      </c>
      <c r="F114" s="419">
        <f>Volumes!F$8*(F100+F95)</f>
        <v>187350.65083333338</v>
      </c>
      <c r="G114" s="419">
        <f>Volumes!G$8*(G100+G95)</f>
        <v>96533.3643791177</v>
      </c>
      <c r="H114" s="419">
        <f>Volumes!H$8*(H100+H95)</f>
        <v>2350125.8412932167</v>
      </c>
      <c r="I114" s="419">
        <f>Volumes!I$8*(I100+I95)</f>
        <v>2669420.007658373</v>
      </c>
      <c r="J114" s="419">
        <f>Volumes!J$8*(J100+J95)</f>
        <v>29252.6</v>
      </c>
      <c r="K114" s="419">
        <f>Volumes!K$8*(K100+K95)</f>
        <v>1765083.4633333331</v>
      </c>
      <c r="L114" s="419">
        <f>Volumes!L$8*(L100+L95)</f>
        <v>45328.271401941856</v>
      </c>
    </row>
    <row r="115" spans="2:12" ht="12.75" outlineLevel="1">
      <c r="B115" s="447" t="s">
        <v>269</v>
      </c>
      <c r="C115" s="472"/>
      <c r="D115" s="472"/>
      <c r="E115" s="419">
        <f>Volumes!E$9*(E90+E84)</f>
        <v>838</v>
      </c>
      <c r="F115" s="419">
        <f>Volumes!F$9*(F90+F84)</f>
        <v>3789.953333333333</v>
      </c>
      <c r="G115" s="419">
        <f>Volumes!G$9*(G90+G84)</f>
        <v>1157.1669976331443</v>
      </c>
      <c r="H115" s="419">
        <f>Volumes!H$9*(H90+H84)</f>
        <v>55920.71112334471</v>
      </c>
      <c r="I115" s="419">
        <f>Volumes!I$9*(I90+I84)</f>
        <v>55065.87131010689</v>
      </c>
      <c r="J115" s="419">
        <f>Volumes!J$9*(J90+J84)</f>
        <v>502.2</v>
      </c>
      <c r="K115" s="419">
        <f>Volumes!K$9*(K90+K84)</f>
        <v>35657.551894078824</v>
      </c>
      <c r="L115" s="419">
        <f>Volumes!L$9*(L90+L84)</f>
        <v>1756.669735859847</v>
      </c>
    </row>
    <row r="116" spans="2:12" ht="12.75" outlineLevel="1">
      <c r="B116" s="447" t="s">
        <v>270</v>
      </c>
      <c r="C116" s="472"/>
      <c r="D116" s="472"/>
      <c r="E116" s="419">
        <f>Volumes!E$10*(E90+E84)</f>
        <v>268</v>
      </c>
      <c r="F116" s="419">
        <f>Volumes!F$10*(F90+F84)</f>
        <v>1700.86</v>
      </c>
      <c r="G116" s="419">
        <f>Volumes!G$10*(G90+G84)</f>
        <v>604.3491797004533</v>
      </c>
      <c r="H116" s="419">
        <f>Volumes!H$10*(H90+H84)</f>
        <v>21899.90894508556</v>
      </c>
      <c r="I116" s="419">
        <f>Volumes!I$10*(I90+I84)</f>
        <v>22506.199268217264</v>
      </c>
      <c r="J116" s="419">
        <f>Volumes!J$10*(J90+J84)</f>
        <v>254.8</v>
      </c>
      <c r="K116" s="419">
        <f>Volumes!K$10*(K90+K84)</f>
        <v>11424.34921390143</v>
      </c>
      <c r="L116" s="419">
        <f>Volumes!L$10*(L90+L84)</f>
        <v>1032.9443671125928</v>
      </c>
    </row>
    <row r="117" spans="2:12" ht="12.75" outlineLevel="1">
      <c r="B117" s="447" t="s">
        <v>271</v>
      </c>
      <c r="C117" s="472"/>
      <c r="D117" s="472"/>
      <c r="E117" s="419">
        <f>Volumes!E$11*(E90+E84)</f>
        <v>240</v>
      </c>
      <c r="F117" s="419">
        <f>Volumes!F$11*(F90+F84)</f>
        <v>1200.7825</v>
      </c>
      <c r="G117" s="419">
        <f>Volumes!G$11*(G90+G84)</f>
        <v>1114.7902044315697</v>
      </c>
      <c r="H117" s="419">
        <f>Volumes!H$11*(H90+H84)</f>
        <v>19967.534590218136</v>
      </c>
      <c r="I117" s="419">
        <f>Volumes!I$11*(I90+I84)</f>
        <v>22276.467277476004</v>
      </c>
      <c r="J117" s="419">
        <f>Volumes!J$11*(J90+J84)</f>
        <v>198.7</v>
      </c>
      <c r="K117" s="419">
        <f>Volumes!K$11*(K90+K84)</f>
        <v>13440.29637547559</v>
      </c>
      <c r="L117" s="419">
        <f>Volumes!L$11*(L90+L84)</f>
        <v>869.3609177814822</v>
      </c>
    </row>
    <row r="118" spans="2:12" ht="12.75" outlineLevel="1">
      <c r="B118" s="447" t="s">
        <v>272</v>
      </c>
      <c r="C118" s="472"/>
      <c r="D118" s="472"/>
      <c r="E118" s="419">
        <f>Volumes!E$12*(E90+E84)</f>
        <v>224</v>
      </c>
      <c r="F118" s="419">
        <f>Volumes!F$12*(F90+F84)</f>
        <v>980.0466666666666</v>
      </c>
      <c r="G118" s="419">
        <f>Volumes!G$12*(G90+G84)</f>
        <v>105.15559094241469</v>
      </c>
      <c r="H118" s="419">
        <f>Volumes!H$12*(H90+H84)</f>
        <v>12895.845435591918</v>
      </c>
      <c r="I118" s="419">
        <f>Volumes!I$12*(I90+I84)</f>
        <v>16312.383918143854</v>
      </c>
      <c r="J118" s="419">
        <f>Volumes!J$12*(J90+J84)</f>
        <v>128.8</v>
      </c>
      <c r="K118" s="419">
        <f>Volumes!K$12*(K90+K84)</f>
        <v>6732.796504871223</v>
      </c>
      <c r="L118" s="419">
        <f>Volumes!L$12*(L90+L84)</f>
        <v>699.42282298265</v>
      </c>
    </row>
    <row r="119" spans="2:12" ht="12.75" outlineLevel="1">
      <c r="B119" s="473"/>
      <c r="C119" s="473"/>
      <c r="D119" s="473"/>
      <c r="E119" s="109"/>
      <c r="F119" s="109"/>
      <c r="G119" s="109"/>
      <c r="H119" s="109"/>
      <c r="I119" s="109"/>
      <c r="J119" s="109"/>
      <c r="K119" s="109"/>
      <c r="L119" s="109"/>
    </row>
    <row r="120" spans="2:12" s="86" customFormat="1" ht="12.75" outlineLevel="1">
      <c r="B120" s="448" t="s">
        <v>252</v>
      </c>
      <c r="C120" s="448"/>
      <c r="D120" s="448"/>
      <c r="E120" s="109"/>
      <c r="F120" s="109"/>
      <c r="G120" s="109"/>
      <c r="H120" s="109"/>
      <c r="I120" s="109"/>
      <c r="J120" s="109"/>
      <c r="K120" s="109"/>
      <c r="L120" s="109"/>
    </row>
    <row r="121" spans="2:12" s="86" customFormat="1" ht="12.75" outlineLevel="1">
      <c r="B121" s="447" t="s">
        <v>275</v>
      </c>
      <c r="C121" s="447"/>
      <c r="D121" s="447"/>
      <c r="E121" s="109"/>
      <c r="F121" s="109"/>
      <c r="G121" s="109"/>
      <c r="H121" s="109"/>
      <c r="I121" s="109"/>
      <c r="J121" s="109"/>
      <c r="K121" s="109"/>
      <c r="L121" s="109"/>
    </row>
    <row r="122" spans="2:12" s="86" customFormat="1" ht="12.75" outlineLevel="1">
      <c r="B122" s="474" t="s">
        <v>404</v>
      </c>
      <c r="C122" s="474"/>
      <c r="D122" s="474"/>
      <c r="E122" s="283">
        <v>21440</v>
      </c>
      <c r="F122" s="283">
        <v>81115.33333333333</v>
      </c>
      <c r="G122" s="283">
        <v>40214.5</v>
      </c>
      <c r="H122" s="283">
        <v>889264</v>
      </c>
      <c r="I122" s="283">
        <v>721588</v>
      </c>
      <c r="J122" s="283">
        <v>17296</v>
      </c>
      <c r="K122" s="283">
        <v>726649</v>
      </c>
      <c r="L122" s="283">
        <v>22644</v>
      </c>
    </row>
    <row r="123" spans="2:12" s="86" customFormat="1" ht="12.75" outlineLevel="1">
      <c r="B123" s="474" t="s">
        <v>405</v>
      </c>
      <c r="C123" s="474"/>
      <c r="D123" s="474"/>
      <c r="E123" s="283">
        <v>49054</v>
      </c>
      <c r="F123" s="283">
        <v>187350.65083333338</v>
      </c>
      <c r="G123" s="283">
        <v>95165.14675916571</v>
      </c>
      <c r="H123" s="283">
        <v>2402350</v>
      </c>
      <c r="I123" s="283">
        <v>2670367.1929240916</v>
      </c>
      <c r="J123" s="283">
        <v>29252.6</v>
      </c>
      <c r="K123" s="283">
        <v>1766883</v>
      </c>
      <c r="L123" s="283">
        <v>45318.28727556596</v>
      </c>
    </row>
    <row r="124" spans="2:12" s="86" customFormat="1" ht="12.75" outlineLevel="1">
      <c r="B124" s="474" t="s">
        <v>406</v>
      </c>
      <c r="C124" s="474"/>
      <c r="D124" s="474"/>
      <c r="E124" s="283">
        <v>1570</v>
      </c>
      <c r="F124" s="283">
        <v>7671.725833333333</v>
      </c>
      <c r="G124" s="283">
        <v>2922.9804776196197</v>
      </c>
      <c r="H124" s="283">
        <v>65022</v>
      </c>
      <c r="I124" s="283">
        <v>113490.48324174319</v>
      </c>
      <c r="J124" s="283">
        <v>1084.5</v>
      </c>
      <c r="K124" s="283">
        <v>65707</v>
      </c>
      <c r="L124" s="283">
        <v>4410.18389831015</v>
      </c>
    </row>
    <row r="125" spans="2:12" s="86" customFormat="1" ht="12.75" outlineLevel="1">
      <c r="B125" s="474" t="s">
        <v>394</v>
      </c>
      <c r="C125" s="474"/>
      <c r="D125" s="474"/>
      <c r="E125" s="283">
        <v>496</v>
      </c>
      <c r="F125" s="283">
        <v>1679.1666666666667</v>
      </c>
      <c r="G125" s="283">
        <v>739.7711606757068</v>
      </c>
      <c r="H125" s="283">
        <v>31863</v>
      </c>
      <c r="I125" s="283">
        <v>12328</v>
      </c>
      <c r="J125" s="283">
        <v>215.3</v>
      </c>
      <c r="K125" s="283">
        <v>10856.7</v>
      </c>
      <c r="L125" s="283">
        <v>1042.4709068437282</v>
      </c>
    </row>
    <row r="126" spans="2:12" s="86" customFormat="1" ht="12.75" outlineLevel="1">
      <c r="B126" s="474" t="s">
        <v>397</v>
      </c>
      <c r="C126" s="474"/>
      <c r="D126" s="474"/>
      <c r="E126" s="283">
        <v>31</v>
      </c>
      <c r="F126" s="283">
        <v>315.25</v>
      </c>
      <c r="G126" s="283">
        <v>588</v>
      </c>
      <c r="H126" s="283">
        <v>8639</v>
      </c>
      <c r="I126" s="283">
        <v>11841</v>
      </c>
      <c r="J126" s="283">
        <v>20</v>
      </c>
      <c r="K126" s="283">
        <v>7819.9</v>
      </c>
      <c r="L126" s="283">
        <v>340.68443398765623</v>
      </c>
    </row>
    <row r="127" spans="2:12" s="86" customFormat="1" ht="12.75" outlineLevel="1">
      <c r="B127" s="474" t="s">
        <v>400</v>
      </c>
      <c r="C127" s="474"/>
      <c r="D127" s="474"/>
      <c r="E127" s="283">
        <v>0</v>
      </c>
      <c r="F127" s="283">
        <v>25.4166666666667</v>
      </c>
      <c r="G127" s="283">
        <v>5</v>
      </c>
      <c r="H127" s="283">
        <v>1276</v>
      </c>
      <c r="I127" s="283">
        <v>167</v>
      </c>
      <c r="J127" s="283">
        <v>0</v>
      </c>
      <c r="K127" s="283">
        <v>128</v>
      </c>
      <c r="L127" s="283">
        <v>16.858060927577267</v>
      </c>
    </row>
    <row r="128" spans="2:12" s="86" customFormat="1" ht="12.75" outlineLevel="1">
      <c r="B128" s="447"/>
      <c r="C128" s="447"/>
      <c r="D128" s="447"/>
      <c r="E128" s="109"/>
      <c r="F128" s="109"/>
      <c r="G128" s="109"/>
      <c r="H128" s="109"/>
      <c r="I128" s="109"/>
      <c r="J128" s="109"/>
      <c r="K128" s="109"/>
      <c r="L128" s="109"/>
    </row>
    <row r="129" spans="2:12" s="86" customFormat="1" ht="12.75" outlineLevel="1">
      <c r="B129" s="447" t="s">
        <v>417</v>
      </c>
      <c r="C129" s="447"/>
      <c r="D129" s="447"/>
      <c r="E129" s="283">
        <v>0</v>
      </c>
      <c r="F129" s="283">
        <v>104124</v>
      </c>
      <c r="G129" s="283">
        <v>0</v>
      </c>
      <c r="H129" s="283">
        <v>0</v>
      </c>
      <c r="I129" s="283">
        <v>532006</v>
      </c>
      <c r="J129" s="283">
        <v>5615</v>
      </c>
      <c r="K129" s="283">
        <v>253202</v>
      </c>
      <c r="L129" s="283">
        <v>1533.3333333333333</v>
      </c>
    </row>
    <row r="130" spans="2:12" s="86" customFormat="1" ht="12.75" outlineLevel="1">
      <c r="B130" s="447"/>
      <c r="C130" s="447"/>
      <c r="D130" s="447"/>
      <c r="E130" s="109"/>
      <c r="F130" s="109"/>
      <c r="G130" s="109"/>
      <c r="H130" s="109"/>
      <c r="I130" s="109"/>
      <c r="J130" s="109"/>
      <c r="K130" s="109"/>
      <c r="L130" s="109"/>
    </row>
    <row r="131" spans="5:12" ht="12.75" outlineLevel="1">
      <c r="E131" s="476"/>
      <c r="F131" s="476"/>
      <c r="G131" s="476"/>
      <c r="H131" s="476"/>
      <c r="I131" s="476"/>
      <c r="J131" s="476"/>
      <c r="K131" s="476"/>
      <c r="L131" s="476"/>
    </row>
    <row r="132" spans="5:12" ht="12.75">
      <c r="E132" s="476"/>
      <c r="F132" s="476"/>
      <c r="G132" s="476"/>
      <c r="H132" s="476"/>
      <c r="I132" s="476"/>
      <c r="J132" s="476"/>
      <c r="K132" s="476"/>
      <c r="L132" s="476"/>
    </row>
    <row r="133" spans="2:12" s="5" customFormat="1" ht="12.75">
      <c r="B133" s="6" t="s">
        <v>259</v>
      </c>
      <c r="C133" s="6"/>
      <c r="D133" s="6"/>
      <c r="E133" s="479"/>
      <c r="F133" s="479"/>
      <c r="G133" s="479"/>
      <c r="H133" s="479"/>
      <c r="I133" s="479"/>
      <c r="J133" s="479"/>
      <c r="K133" s="479"/>
      <c r="L133" s="479"/>
    </row>
    <row r="134" spans="2:12" ht="12.75" outlineLevel="1">
      <c r="B134" s="469"/>
      <c r="C134" s="469"/>
      <c r="D134" s="469"/>
      <c r="E134" s="476"/>
      <c r="F134" s="476"/>
      <c r="G134" s="476"/>
      <c r="H134" s="476"/>
      <c r="I134" s="476"/>
      <c r="J134" s="476"/>
      <c r="K134" s="476"/>
      <c r="L134" s="476"/>
    </row>
    <row r="135" spans="5:12" ht="12.75" outlineLevel="1">
      <c r="E135" s="476"/>
      <c r="F135" s="476"/>
      <c r="G135" s="476"/>
      <c r="H135" s="476"/>
      <c r="I135" s="476"/>
      <c r="J135" s="476"/>
      <c r="K135" s="476"/>
      <c r="L135" s="476"/>
    </row>
    <row r="136" spans="2:12" ht="12.75" outlineLevel="1">
      <c r="B136" s="448" t="s">
        <v>229</v>
      </c>
      <c r="C136" s="447"/>
      <c r="D136" s="447"/>
      <c r="E136" s="476"/>
      <c r="F136" s="476"/>
      <c r="G136" s="476"/>
      <c r="H136" s="476"/>
      <c r="I136" s="476"/>
      <c r="J136" s="476"/>
      <c r="K136" s="476"/>
      <c r="L136" s="476"/>
    </row>
    <row r="137" spans="2:12" ht="12.75" outlineLevel="1">
      <c r="B137" s="447" t="s">
        <v>230</v>
      </c>
      <c r="C137" s="447"/>
      <c r="D137" s="447"/>
      <c r="E137" s="38">
        <f>Volumes!E400</f>
        <v>0</v>
      </c>
      <c r="F137" s="38">
        <f>Volumes!F400</f>
        <v>0</v>
      </c>
      <c r="G137" s="38">
        <f>Volumes!G400</f>
        <v>0</v>
      </c>
      <c r="H137" s="38">
        <f>Volumes!H400</f>
        <v>0</v>
      </c>
      <c r="I137" s="38">
        <f>Volumes!I400</f>
        <v>1</v>
      </c>
      <c r="J137" s="38">
        <f>Volumes!J400</f>
        <v>0</v>
      </c>
      <c r="K137" s="38">
        <f>Volumes!K400</f>
        <v>1</v>
      </c>
      <c r="L137" s="38">
        <f>Volumes!L400</f>
        <v>0</v>
      </c>
    </row>
    <row r="138" spans="2:12" ht="12.75" outlineLevel="1">
      <c r="B138" s="447"/>
      <c r="C138" s="447"/>
      <c r="D138" s="447"/>
      <c r="E138" s="109"/>
      <c r="F138" s="109"/>
      <c r="G138" s="109"/>
      <c r="H138" s="109"/>
      <c r="I138" s="109"/>
      <c r="J138" s="109"/>
      <c r="K138" s="109"/>
      <c r="L138" s="109"/>
    </row>
    <row r="139" spans="2:12" ht="12.75" outlineLevel="1">
      <c r="B139" s="447" t="s">
        <v>231</v>
      </c>
      <c r="C139" s="447"/>
      <c r="D139" s="447"/>
      <c r="E139" s="38">
        <f>Volumes!E402</f>
        <v>0</v>
      </c>
      <c r="F139" s="38">
        <f>Volumes!F402</f>
        <v>0</v>
      </c>
      <c r="G139" s="38">
        <f>Volumes!G402</f>
        <v>0</v>
      </c>
      <c r="H139" s="38">
        <f>Volumes!H402</f>
        <v>0</v>
      </c>
      <c r="I139" s="38">
        <f>Volumes!I402</f>
        <v>1</v>
      </c>
      <c r="J139" s="38">
        <f>Volumes!J402</f>
        <v>0</v>
      </c>
      <c r="K139" s="38">
        <f>Volumes!K402</f>
        <v>1</v>
      </c>
      <c r="L139" s="38">
        <f>Volumes!L402</f>
        <v>0</v>
      </c>
    </row>
    <row r="140" spans="2:12" ht="12.75" outlineLevel="1">
      <c r="B140" s="447" t="s">
        <v>232</v>
      </c>
      <c r="C140" s="447"/>
      <c r="D140" s="447"/>
      <c r="E140" s="38">
        <f>Volumes!E403</f>
        <v>0</v>
      </c>
      <c r="F140" s="38">
        <f>Volumes!F403</f>
        <v>0</v>
      </c>
      <c r="G140" s="38">
        <f>Volumes!G403</f>
        <v>0</v>
      </c>
      <c r="H140" s="38">
        <f>Volumes!H403</f>
        <v>0</v>
      </c>
      <c r="I140" s="38">
        <f>Volumes!I403</f>
        <v>1</v>
      </c>
      <c r="J140" s="38">
        <f>Volumes!J403</f>
        <v>0</v>
      </c>
      <c r="K140" s="38">
        <f>Volumes!K403</f>
        <v>1</v>
      </c>
      <c r="L140" s="38">
        <f>Volumes!L403</f>
        <v>0</v>
      </c>
    </row>
    <row r="141" spans="2:12" ht="12.75" outlineLevel="1">
      <c r="B141" s="447"/>
      <c r="C141" s="447"/>
      <c r="D141" s="447"/>
      <c r="E141" s="109"/>
      <c r="F141" s="109"/>
      <c r="G141" s="109"/>
      <c r="H141" s="109"/>
      <c r="I141" s="109"/>
      <c r="J141" s="109"/>
      <c r="K141" s="109"/>
      <c r="L141" s="109"/>
    </row>
    <row r="142" spans="2:12" ht="12.75" outlineLevel="1">
      <c r="B142" s="447" t="s">
        <v>234</v>
      </c>
      <c r="C142" s="447"/>
      <c r="D142" s="447"/>
      <c r="E142" s="38">
        <f>Volumes!E405</f>
        <v>0</v>
      </c>
      <c r="F142" s="38">
        <f>Volumes!F405</f>
        <v>0</v>
      </c>
      <c r="G142" s="38">
        <f>Volumes!G405</f>
        <v>0</v>
      </c>
      <c r="H142" s="38">
        <f>Volumes!H405</f>
        <v>0</v>
      </c>
      <c r="I142" s="38">
        <f>Volumes!I405</f>
        <v>1</v>
      </c>
      <c r="J142" s="38">
        <f>Volumes!J405</f>
        <v>0</v>
      </c>
      <c r="K142" s="38">
        <f>Volumes!K405</f>
        <v>1</v>
      </c>
      <c r="L142" s="38">
        <f>Volumes!L405</f>
        <v>0</v>
      </c>
    </row>
    <row r="143" spans="2:12" ht="12.75" outlineLevel="1">
      <c r="B143" s="447" t="s">
        <v>275</v>
      </c>
      <c r="C143" s="447"/>
      <c r="D143" s="447"/>
      <c r="E143" s="109"/>
      <c r="F143" s="109"/>
      <c r="G143" s="109"/>
      <c r="H143" s="109"/>
      <c r="I143" s="109"/>
      <c r="J143" s="109"/>
      <c r="K143" s="109"/>
      <c r="L143" s="109"/>
    </row>
    <row r="144" spans="2:12" ht="12.75" outlineLevel="1">
      <c r="B144" s="448" t="s">
        <v>235</v>
      </c>
      <c r="C144" s="447"/>
      <c r="D144" s="447"/>
      <c r="E144" s="109"/>
      <c r="F144" s="109"/>
      <c r="G144" s="109"/>
      <c r="H144" s="109"/>
      <c r="I144" s="109"/>
      <c r="J144" s="109"/>
      <c r="K144" s="109"/>
      <c r="L144" s="109"/>
    </row>
    <row r="145" spans="2:12" ht="12.75" outlineLevel="1">
      <c r="B145" s="447" t="s">
        <v>230</v>
      </c>
      <c r="C145" s="447"/>
      <c r="D145" s="447"/>
      <c r="E145" s="38">
        <f>Volumes!E408</f>
        <v>0</v>
      </c>
      <c r="F145" s="38">
        <f>Volumes!F408</f>
        <v>0</v>
      </c>
      <c r="G145" s="38">
        <f>Volumes!G408</f>
        <v>0</v>
      </c>
      <c r="H145" s="38">
        <f>Volumes!H408</f>
        <v>0</v>
      </c>
      <c r="I145" s="38">
        <f>Volumes!I408</f>
        <v>0</v>
      </c>
      <c r="J145" s="38">
        <f>Volumes!J408</f>
        <v>0</v>
      </c>
      <c r="K145" s="38">
        <f>Volumes!K408</f>
        <v>1</v>
      </c>
      <c r="L145" s="38">
        <f>Volumes!L408</f>
        <v>0</v>
      </c>
    </row>
    <row r="146" spans="2:12" ht="12.75" outlineLevel="1">
      <c r="B146" s="447"/>
      <c r="C146" s="447"/>
      <c r="D146" s="447"/>
      <c r="E146" s="109"/>
      <c r="F146" s="109"/>
      <c r="G146" s="109"/>
      <c r="H146" s="109"/>
      <c r="I146" s="109"/>
      <c r="J146" s="109"/>
      <c r="K146" s="109"/>
      <c r="L146" s="109"/>
    </row>
    <row r="147" spans="2:12" ht="12.75" outlineLevel="1">
      <c r="B147" s="447" t="s">
        <v>231</v>
      </c>
      <c r="C147" s="447"/>
      <c r="D147" s="447"/>
      <c r="E147" s="38">
        <f>Volumes!E410</f>
        <v>0</v>
      </c>
      <c r="F147" s="38">
        <f>Volumes!F410</f>
        <v>0</v>
      </c>
      <c r="G147" s="38">
        <f>Volumes!G410</f>
        <v>0</v>
      </c>
      <c r="H147" s="38">
        <f>Volumes!H410</f>
        <v>0</v>
      </c>
      <c r="I147" s="38">
        <f>Volumes!I410</f>
        <v>0</v>
      </c>
      <c r="J147" s="38">
        <f>Volumes!J410</f>
        <v>0</v>
      </c>
      <c r="K147" s="38">
        <f>Volumes!K410</f>
        <v>1</v>
      </c>
      <c r="L147" s="38">
        <f>Volumes!L410</f>
        <v>0</v>
      </c>
    </row>
    <row r="148" spans="2:12" ht="12.75" outlineLevel="1">
      <c r="B148" s="447" t="s">
        <v>236</v>
      </c>
      <c r="C148" s="447"/>
      <c r="D148" s="447"/>
      <c r="E148" s="38">
        <f>Volumes!E411</f>
        <v>0</v>
      </c>
      <c r="F148" s="38">
        <f>Volumes!F411</f>
        <v>0</v>
      </c>
      <c r="G148" s="38">
        <f>Volumes!G411</f>
        <v>0</v>
      </c>
      <c r="H148" s="38">
        <f>Volumes!H411</f>
        <v>0</v>
      </c>
      <c r="I148" s="38">
        <f>Volumes!I411</f>
        <v>0</v>
      </c>
      <c r="J148" s="38">
        <f>Volumes!J411</f>
        <v>0</v>
      </c>
      <c r="K148" s="38">
        <f>Volumes!K411</f>
        <v>1</v>
      </c>
      <c r="L148" s="38">
        <f>Volumes!L411</f>
        <v>0</v>
      </c>
    </row>
    <row r="149" spans="2:12" ht="12.75" outlineLevel="1">
      <c r="B149" s="447"/>
      <c r="C149" s="447"/>
      <c r="D149" s="447"/>
      <c r="E149" s="109"/>
      <c r="F149" s="109"/>
      <c r="G149" s="109"/>
      <c r="H149" s="109"/>
      <c r="I149" s="109"/>
      <c r="J149" s="109"/>
      <c r="K149" s="109"/>
      <c r="L149" s="109"/>
    </row>
    <row r="150" spans="2:12" ht="12.75" outlineLevel="1">
      <c r="B150" s="447" t="s">
        <v>234</v>
      </c>
      <c r="C150" s="447"/>
      <c r="D150" s="447"/>
      <c r="E150" s="38">
        <f>Volumes!E413</f>
        <v>0</v>
      </c>
      <c r="F150" s="38">
        <f>Volumes!F413</f>
        <v>0</v>
      </c>
      <c r="G150" s="38">
        <f>Volumes!G413</f>
        <v>0</v>
      </c>
      <c r="H150" s="38">
        <f>Volumes!H413</f>
        <v>0</v>
      </c>
      <c r="I150" s="38">
        <f>Volumes!I413</f>
        <v>0</v>
      </c>
      <c r="J150" s="38">
        <f>Volumes!J413</f>
        <v>0</v>
      </c>
      <c r="K150" s="38">
        <f>Volumes!K413</f>
        <v>1</v>
      </c>
      <c r="L150" s="38">
        <f>Volumes!L413</f>
        <v>0</v>
      </c>
    </row>
    <row r="151" spans="2:12" ht="12.75" outlineLevel="1">
      <c r="B151" s="447" t="s">
        <v>275</v>
      </c>
      <c r="C151" s="447"/>
      <c r="D151" s="447"/>
      <c r="E151" s="109"/>
      <c r="F151" s="109"/>
      <c r="G151" s="109"/>
      <c r="H151" s="109"/>
      <c r="I151" s="109"/>
      <c r="J151" s="109"/>
      <c r="K151" s="109"/>
      <c r="L151" s="109"/>
    </row>
    <row r="152" spans="2:12" ht="12.75" outlineLevel="1">
      <c r="B152" s="448" t="s">
        <v>237</v>
      </c>
      <c r="C152" s="447"/>
      <c r="D152" s="447"/>
      <c r="E152" s="109"/>
      <c r="F152" s="109"/>
      <c r="G152" s="109"/>
      <c r="H152" s="109"/>
      <c r="I152" s="109"/>
      <c r="J152" s="109"/>
      <c r="K152" s="109"/>
      <c r="L152" s="109"/>
    </row>
    <row r="153" spans="2:12" ht="12.75" outlineLevel="1">
      <c r="B153" s="447" t="s">
        <v>230</v>
      </c>
      <c r="C153" s="447"/>
      <c r="D153" s="447"/>
      <c r="E153" s="38">
        <f>Volumes!E416</f>
        <v>0</v>
      </c>
      <c r="F153" s="38">
        <f>Volumes!F416</f>
        <v>1</v>
      </c>
      <c r="G153" s="38">
        <f>Volumes!G416</f>
        <v>0</v>
      </c>
      <c r="H153" s="38">
        <f>Volumes!H416</f>
        <v>0</v>
      </c>
      <c r="I153" s="38">
        <f>Volumes!I416</f>
        <v>1</v>
      </c>
      <c r="J153" s="38">
        <f>Volumes!J416</f>
        <v>0</v>
      </c>
      <c r="K153" s="38">
        <f>Volumes!K416</f>
        <v>1</v>
      </c>
      <c r="L153" s="38">
        <f>Volumes!L416</f>
        <v>0</v>
      </c>
    </row>
    <row r="154" spans="2:12" ht="12.75" outlineLevel="1">
      <c r="B154" s="447"/>
      <c r="C154" s="447"/>
      <c r="D154" s="447"/>
      <c r="E154" s="109"/>
      <c r="F154" s="109"/>
      <c r="G154" s="109"/>
      <c r="H154" s="109"/>
      <c r="I154" s="109"/>
      <c r="J154" s="109"/>
      <c r="K154" s="109"/>
      <c r="L154" s="109"/>
    </row>
    <row r="155" spans="2:12" ht="12.75" outlineLevel="1">
      <c r="B155" s="447" t="s">
        <v>231</v>
      </c>
      <c r="C155" s="447"/>
      <c r="D155" s="447"/>
      <c r="E155" s="38">
        <f>Volumes!E418</f>
        <v>0</v>
      </c>
      <c r="F155" s="38">
        <f>Volumes!F418</f>
        <v>1</v>
      </c>
      <c r="G155" s="38">
        <f>Volumes!G418</f>
        <v>0</v>
      </c>
      <c r="H155" s="38">
        <f>Volumes!H418</f>
        <v>0</v>
      </c>
      <c r="I155" s="38">
        <f>Volumes!I418</f>
        <v>1</v>
      </c>
      <c r="J155" s="38">
        <f>Volumes!J418</f>
        <v>0</v>
      </c>
      <c r="K155" s="38">
        <f>Volumes!K418</f>
        <v>1</v>
      </c>
      <c r="L155" s="38">
        <f>Volumes!L418</f>
        <v>0</v>
      </c>
    </row>
    <row r="156" spans="2:12" ht="12.75" outlineLevel="1">
      <c r="B156" s="447" t="s">
        <v>232</v>
      </c>
      <c r="C156" s="447"/>
      <c r="D156" s="447"/>
      <c r="E156" s="38">
        <f>Volumes!E419</f>
        <v>0</v>
      </c>
      <c r="F156" s="38">
        <f>Volumes!F419</f>
        <v>0</v>
      </c>
      <c r="G156" s="38">
        <f>Volumes!G419</f>
        <v>0</v>
      </c>
      <c r="H156" s="38">
        <f>Volumes!H419</f>
        <v>0</v>
      </c>
      <c r="I156" s="38">
        <f>Volumes!I419</f>
        <v>1</v>
      </c>
      <c r="J156" s="38">
        <f>Volumes!J419</f>
        <v>0</v>
      </c>
      <c r="K156" s="38">
        <f>Volumes!K419</f>
        <v>1</v>
      </c>
      <c r="L156" s="38">
        <f>Volumes!L419</f>
        <v>0</v>
      </c>
    </row>
    <row r="157" spans="2:12" ht="12.75" outlineLevel="1">
      <c r="B157" s="447"/>
      <c r="C157" s="447"/>
      <c r="D157" s="447"/>
      <c r="E157" s="109"/>
      <c r="F157" s="109"/>
      <c r="G157" s="109"/>
      <c r="H157" s="109"/>
      <c r="I157" s="109"/>
      <c r="J157" s="109"/>
      <c r="K157" s="70"/>
      <c r="L157" s="109"/>
    </row>
    <row r="158" spans="2:12" ht="12.75" outlineLevel="1">
      <c r="B158" s="447" t="s">
        <v>234</v>
      </c>
      <c r="C158" s="447"/>
      <c r="D158" s="447"/>
      <c r="E158" s="38">
        <f>Volumes!E421</f>
        <v>0</v>
      </c>
      <c r="F158" s="38">
        <f>Volumes!F421</f>
        <v>0</v>
      </c>
      <c r="G158" s="38">
        <f>Volumes!G421</f>
        <v>0</v>
      </c>
      <c r="H158" s="38">
        <f>Volumes!H421</f>
        <v>0</v>
      </c>
      <c r="I158" s="38">
        <f>Volumes!I421</f>
        <v>0</v>
      </c>
      <c r="J158" s="38">
        <f>Volumes!J421</f>
        <v>0</v>
      </c>
      <c r="K158" s="547">
        <f>Volumes!K421</f>
        <v>1</v>
      </c>
      <c r="L158" s="38">
        <f>Volumes!L421</f>
        <v>0</v>
      </c>
    </row>
    <row r="159" spans="2:12" ht="12.75" outlineLevel="1">
      <c r="B159" s="447" t="s">
        <v>275</v>
      </c>
      <c r="C159" s="447"/>
      <c r="D159" s="447"/>
      <c r="E159" s="109"/>
      <c r="F159" s="109"/>
      <c r="G159" s="109"/>
      <c r="H159" s="109"/>
      <c r="I159" s="109"/>
      <c r="J159" s="109"/>
      <c r="K159" s="70"/>
      <c r="L159" s="109"/>
    </row>
    <row r="160" spans="2:12" ht="12.75" outlineLevel="1">
      <c r="B160" s="448" t="s">
        <v>238</v>
      </c>
      <c r="C160" s="447"/>
      <c r="D160" s="447"/>
      <c r="E160" s="109"/>
      <c r="F160" s="109"/>
      <c r="G160" s="109"/>
      <c r="H160" s="109"/>
      <c r="I160" s="109"/>
      <c r="J160" s="109"/>
      <c r="K160" s="70"/>
      <c r="L160" s="109"/>
    </row>
    <row r="161" spans="2:12" ht="12.75" outlineLevel="1">
      <c r="B161" s="447" t="s">
        <v>230</v>
      </c>
      <c r="C161" s="447"/>
      <c r="D161" s="447"/>
      <c r="E161" s="38">
        <f>Volumes!E424</f>
        <v>0</v>
      </c>
      <c r="F161" s="38">
        <f>Volumes!F424</f>
        <v>0</v>
      </c>
      <c r="G161" s="38">
        <f>Volumes!G424</f>
        <v>0</v>
      </c>
      <c r="H161" s="38">
        <f>Volumes!H424</f>
        <v>0</v>
      </c>
      <c r="I161" s="38">
        <f>Volumes!I424</f>
        <v>1</v>
      </c>
      <c r="J161" s="38">
        <f>Volumes!J424</f>
        <v>0</v>
      </c>
      <c r="K161" s="547">
        <f>Volumes!K424</f>
        <v>1</v>
      </c>
      <c r="L161" s="38">
        <f>Volumes!L424</f>
        <v>0</v>
      </c>
    </row>
    <row r="162" spans="2:12" ht="12.75" outlineLevel="1">
      <c r="B162" s="447"/>
      <c r="C162" s="447"/>
      <c r="D162" s="447"/>
      <c r="E162" s="109"/>
      <c r="F162" s="109"/>
      <c r="G162" s="109"/>
      <c r="H162" s="109"/>
      <c r="I162" s="109"/>
      <c r="J162" s="109"/>
      <c r="K162" s="70"/>
      <c r="L162" s="109"/>
    </row>
    <row r="163" spans="2:12" ht="12.75" outlineLevel="1">
      <c r="B163" s="447" t="s">
        <v>231</v>
      </c>
      <c r="C163" s="447"/>
      <c r="D163" s="447"/>
      <c r="E163" s="38">
        <f>Volumes!E426</f>
        <v>0</v>
      </c>
      <c r="F163" s="38">
        <f>Volumes!F426</f>
        <v>0</v>
      </c>
      <c r="G163" s="38">
        <f>Volumes!G426</f>
        <v>0</v>
      </c>
      <c r="H163" s="38">
        <f>Volumes!H426</f>
        <v>0</v>
      </c>
      <c r="I163" s="38">
        <f>Volumes!I426</f>
        <v>1</v>
      </c>
      <c r="J163" s="38">
        <f>Volumes!J426</f>
        <v>0</v>
      </c>
      <c r="K163" s="547">
        <f>Volumes!K426</f>
        <v>1</v>
      </c>
      <c r="L163" s="38">
        <f>Volumes!L426</f>
        <v>0</v>
      </c>
    </row>
    <row r="164" spans="2:12" ht="12.75" outlineLevel="1">
      <c r="B164" s="447" t="s">
        <v>236</v>
      </c>
      <c r="C164" s="447"/>
      <c r="D164" s="447"/>
      <c r="E164" s="38">
        <f>Volumes!E427</f>
        <v>0</v>
      </c>
      <c r="F164" s="38">
        <f>Volumes!F427</f>
        <v>0</v>
      </c>
      <c r="G164" s="38">
        <f>Volumes!G427</f>
        <v>0</v>
      </c>
      <c r="H164" s="38">
        <f>Volumes!H427</f>
        <v>0</v>
      </c>
      <c r="I164" s="38">
        <f>Volumes!I427</f>
        <v>1</v>
      </c>
      <c r="J164" s="38">
        <f>Volumes!J427</f>
        <v>0</v>
      </c>
      <c r="K164" s="547">
        <f>Volumes!K427</f>
        <v>1</v>
      </c>
      <c r="L164" s="38">
        <f>Volumes!L427</f>
        <v>0</v>
      </c>
    </row>
    <row r="165" spans="2:12" ht="12.75" outlineLevel="1">
      <c r="B165" s="447"/>
      <c r="C165" s="447"/>
      <c r="D165" s="447"/>
      <c r="E165" s="109"/>
      <c r="F165" s="109"/>
      <c r="G165" s="109"/>
      <c r="H165" s="109"/>
      <c r="I165" s="109"/>
      <c r="J165" s="109"/>
      <c r="K165" s="70"/>
      <c r="L165" s="109"/>
    </row>
    <row r="166" spans="2:12" ht="12.75" outlineLevel="1">
      <c r="B166" s="447" t="s">
        <v>234</v>
      </c>
      <c r="C166" s="447"/>
      <c r="D166" s="447"/>
      <c r="E166" s="38">
        <f>Volumes!E429</f>
        <v>0</v>
      </c>
      <c r="F166" s="38">
        <f>Volumes!F429</f>
        <v>0</v>
      </c>
      <c r="G166" s="38">
        <f>Volumes!G429</f>
        <v>0</v>
      </c>
      <c r="H166" s="38">
        <f>Volumes!H429</f>
        <v>0</v>
      </c>
      <c r="I166" s="38">
        <f>Volumes!I429</f>
        <v>1</v>
      </c>
      <c r="J166" s="38">
        <f>Volumes!J429</f>
        <v>0</v>
      </c>
      <c r="K166" s="547">
        <f>Volumes!K429</f>
        <v>1</v>
      </c>
      <c r="L166" s="38">
        <f>Volumes!L429</f>
        <v>0</v>
      </c>
    </row>
    <row r="167" spans="2:12" ht="12.75" outlineLevel="1">
      <c r="B167" s="447" t="s">
        <v>275</v>
      </c>
      <c r="C167" s="447"/>
      <c r="D167" s="447"/>
      <c r="E167" s="109"/>
      <c r="F167" s="109"/>
      <c r="G167" s="109"/>
      <c r="H167" s="109"/>
      <c r="I167" s="109"/>
      <c r="J167" s="109"/>
      <c r="K167" s="109"/>
      <c r="L167" s="109"/>
    </row>
    <row r="168" spans="2:12" ht="12.75" outlineLevel="1">
      <c r="B168" s="448" t="s">
        <v>239</v>
      </c>
      <c r="C168" s="447"/>
      <c r="D168" s="447"/>
      <c r="E168" s="109"/>
      <c r="F168" s="109"/>
      <c r="G168" s="109"/>
      <c r="H168" s="109"/>
      <c r="I168" s="109"/>
      <c r="J168" s="109"/>
      <c r="K168" s="109"/>
      <c r="L168" s="109"/>
    </row>
    <row r="169" spans="2:12" ht="12.75" outlineLevel="1">
      <c r="B169" s="447" t="s">
        <v>230</v>
      </c>
      <c r="C169" s="447"/>
      <c r="D169" s="447"/>
      <c r="E169" s="38">
        <f>Volumes!E432</f>
        <v>0</v>
      </c>
      <c r="F169" s="38">
        <f>Volumes!F432</f>
        <v>1</v>
      </c>
      <c r="G169" s="38">
        <f>Volumes!G432</f>
        <v>1.1428294111222486</v>
      </c>
      <c r="H169" s="38">
        <f>Volumes!H432</f>
        <v>1</v>
      </c>
      <c r="I169" s="38">
        <f>Volumes!I432</f>
        <v>1</v>
      </c>
      <c r="J169" s="38">
        <f>Volumes!J432</f>
        <v>0</v>
      </c>
      <c r="K169" s="38">
        <f>Volumes!K432</f>
        <v>1</v>
      </c>
      <c r="L169" s="38">
        <f>Volumes!L432</f>
        <v>1</v>
      </c>
    </row>
    <row r="170" spans="2:12" ht="12.75" outlineLevel="1">
      <c r="B170" s="447"/>
      <c r="C170" s="447"/>
      <c r="D170" s="447"/>
      <c r="E170" s="109"/>
      <c r="F170" s="109"/>
      <c r="G170" s="109"/>
      <c r="H170" s="109"/>
      <c r="I170" s="109"/>
      <c r="J170" s="109"/>
      <c r="K170" s="109"/>
      <c r="L170" s="109"/>
    </row>
    <row r="171" spans="2:12" ht="12.75" outlineLevel="1">
      <c r="B171" s="447" t="s">
        <v>231</v>
      </c>
      <c r="C171" s="447"/>
      <c r="D171" s="447"/>
      <c r="E171" s="38">
        <f>Volumes!E434</f>
        <v>0</v>
      </c>
      <c r="F171" s="38">
        <f>Volumes!F434</f>
        <v>1</v>
      </c>
      <c r="G171" s="38">
        <f>Volumes!G434</f>
        <v>1</v>
      </c>
      <c r="H171" s="38">
        <f>Volumes!H434</f>
        <v>1</v>
      </c>
      <c r="I171" s="38">
        <f>Volumes!I434</f>
        <v>1</v>
      </c>
      <c r="J171" s="38">
        <f>Volumes!J434</f>
        <v>0</v>
      </c>
      <c r="K171" s="38">
        <f>Volumes!K434</f>
        <v>1</v>
      </c>
      <c r="L171" s="38">
        <f>Volumes!L434</f>
        <v>1</v>
      </c>
    </row>
    <row r="172" spans="2:12" ht="12.75" outlineLevel="1">
      <c r="B172" s="447" t="s">
        <v>232</v>
      </c>
      <c r="C172" s="447"/>
      <c r="D172" s="447"/>
      <c r="E172" s="38">
        <f>Volumes!E435</f>
        <v>0</v>
      </c>
      <c r="F172" s="38">
        <f>Volumes!F435</f>
        <v>1</v>
      </c>
      <c r="G172" s="38">
        <f>Volumes!G435</f>
        <v>1</v>
      </c>
      <c r="H172" s="38">
        <f>Volumes!H435</f>
        <v>1</v>
      </c>
      <c r="I172" s="38">
        <f>Volumes!I435</f>
        <v>1</v>
      </c>
      <c r="J172" s="38">
        <f>Volumes!J435</f>
        <v>0</v>
      </c>
      <c r="K172" s="38">
        <f>Volumes!K435</f>
        <v>1</v>
      </c>
      <c r="L172" s="38">
        <f>Volumes!L435</f>
        <v>1</v>
      </c>
    </row>
    <row r="173" spans="2:12" ht="12.75" outlineLevel="1">
      <c r="B173" s="447"/>
      <c r="C173" s="447"/>
      <c r="D173" s="447"/>
      <c r="E173" s="109"/>
      <c r="F173" s="109"/>
      <c r="G173" s="109"/>
      <c r="H173" s="109"/>
      <c r="I173" s="109"/>
      <c r="J173" s="109"/>
      <c r="K173" s="109"/>
      <c r="L173" s="109"/>
    </row>
    <row r="174" spans="2:12" ht="12.75" outlineLevel="1">
      <c r="B174" s="447" t="s">
        <v>234</v>
      </c>
      <c r="C174" s="447"/>
      <c r="D174" s="447"/>
      <c r="E174" s="38">
        <f>Volumes!E437</f>
        <v>0</v>
      </c>
      <c r="F174" s="38">
        <f>Volumes!F437</f>
        <v>0</v>
      </c>
      <c r="G174" s="38">
        <f>Volumes!G437</f>
        <v>0</v>
      </c>
      <c r="H174" s="38">
        <f>Volumes!H437</f>
        <v>1</v>
      </c>
      <c r="I174" s="38">
        <f>Volumes!I437</f>
        <v>1</v>
      </c>
      <c r="J174" s="38">
        <f>Volumes!J437</f>
        <v>0</v>
      </c>
      <c r="K174" s="38">
        <f>Volumes!K437</f>
        <v>1</v>
      </c>
      <c r="L174" s="38">
        <f>Volumes!L437</f>
        <v>0</v>
      </c>
    </row>
    <row r="175" spans="2:12" ht="12.75" outlineLevel="1">
      <c r="B175" s="447" t="s">
        <v>275</v>
      </c>
      <c r="C175" s="447"/>
      <c r="D175" s="447"/>
      <c r="E175" s="109"/>
      <c r="F175" s="109"/>
      <c r="G175" s="109"/>
      <c r="H175" s="109"/>
      <c r="I175" s="109"/>
      <c r="J175" s="109"/>
      <c r="K175" s="109"/>
      <c r="L175" s="109"/>
    </row>
    <row r="176" spans="2:12" ht="12.75" outlineLevel="1">
      <c r="B176" s="448" t="s">
        <v>240</v>
      </c>
      <c r="C176" s="447"/>
      <c r="D176" s="447"/>
      <c r="E176" s="109"/>
      <c r="F176" s="109"/>
      <c r="G176" s="109"/>
      <c r="H176" s="109"/>
      <c r="I176" s="109"/>
      <c r="J176" s="109"/>
      <c r="K176" s="109"/>
      <c r="L176" s="109"/>
    </row>
    <row r="177" spans="2:12" ht="12.75" outlineLevel="1">
      <c r="B177" s="447" t="s">
        <v>230</v>
      </c>
      <c r="C177" s="447"/>
      <c r="D177" s="447"/>
      <c r="E177" s="38">
        <f>Volumes!E440</f>
        <v>0</v>
      </c>
      <c r="F177" s="38">
        <f>Volumes!F440</f>
        <v>1</v>
      </c>
      <c r="G177" s="38">
        <f>Volumes!G440</f>
        <v>0</v>
      </c>
      <c r="H177" s="38">
        <f>Volumes!H440</f>
        <v>1</v>
      </c>
      <c r="I177" s="38">
        <f>Volumes!I440</f>
        <v>1</v>
      </c>
      <c r="J177" s="38">
        <f>Volumes!J440</f>
        <v>0</v>
      </c>
      <c r="K177" s="38">
        <f>Volumes!K440</f>
        <v>1</v>
      </c>
      <c r="L177" s="38">
        <f>Volumes!L440</f>
        <v>0</v>
      </c>
    </row>
    <row r="178" spans="2:12" ht="12.75" outlineLevel="1">
      <c r="B178" s="447"/>
      <c r="C178" s="447"/>
      <c r="D178" s="447"/>
      <c r="E178" s="109"/>
      <c r="F178" s="109"/>
      <c r="G178" s="109"/>
      <c r="H178" s="109"/>
      <c r="I178" s="109"/>
      <c r="J178" s="109"/>
      <c r="K178" s="109"/>
      <c r="L178" s="109"/>
    </row>
    <row r="179" spans="2:12" ht="12.75" outlineLevel="1">
      <c r="B179" s="447" t="s">
        <v>231</v>
      </c>
      <c r="C179" s="447"/>
      <c r="D179" s="447"/>
      <c r="E179" s="38">
        <f>Volumes!E442</f>
        <v>0</v>
      </c>
      <c r="F179" s="38">
        <f>Volumes!F442</f>
        <v>1</v>
      </c>
      <c r="G179" s="38">
        <f>Volumes!G442</f>
        <v>0</v>
      </c>
      <c r="H179" s="38">
        <f>Volumes!H442</f>
        <v>1</v>
      </c>
      <c r="I179" s="38">
        <f>Volumes!I442</f>
        <v>1</v>
      </c>
      <c r="J179" s="38">
        <f>Volumes!J442</f>
        <v>0</v>
      </c>
      <c r="K179" s="38">
        <f>Volumes!K442</f>
        <v>1</v>
      </c>
      <c r="L179" s="38">
        <f>Volumes!L442</f>
        <v>0</v>
      </c>
    </row>
    <row r="180" spans="2:12" ht="12.75" outlineLevel="1">
      <c r="B180" s="447" t="s">
        <v>236</v>
      </c>
      <c r="C180" s="447"/>
      <c r="D180" s="447"/>
      <c r="E180" s="38">
        <f>Volumes!E443</f>
        <v>0</v>
      </c>
      <c r="F180" s="38">
        <f>Volumes!F443</f>
        <v>1</v>
      </c>
      <c r="G180" s="38">
        <f>Volumes!G443</f>
        <v>0</v>
      </c>
      <c r="H180" s="38">
        <f>Volumes!H443</f>
        <v>1</v>
      </c>
      <c r="I180" s="38">
        <f>Volumes!I443</f>
        <v>1</v>
      </c>
      <c r="J180" s="38">
        <f>Volumes!J443</f>
        <v>0</v>
      </c>
      <c r="K180" s="38">
        <f>Volumes!K443</f>
        <v>1</v>
      </c>
      <c r="L180" s="38">
        <f>Volumes!L443</f>
        <v>0</v>
      </c>
    </row>
    <row r="181" spans="2:12" ht="12.75" outlineLevel="1">
      <c r="B181" s="447"/>
      <c r="C181" s="447"/>
      <c r="D181" s="447"/>
      <c r="E181" s="109"/>
      <c r="F181" s="109"/>
      <c r="G181" s="109"/>
      <c r="H181" s="109"/>
      <c r="I181" s="109"/>
      <c r="J181" s="109"/>
      <c r="K181" s="109"/>
      <c r="L181" s="109"/>
    </row>
    <row r="182" spans="2:12" ht="12.75" outlineLevel="1">
      <c r="B182" s="447" t="s">
        <v>234</v>
      </c>
      <c r="C182" s="447"/>
      <c r="D182" s="447"/>
      <c r="E182" s="38">
        <f>Volumes!E445</f>
        <v>0</v>
      </c>
      <c r="F182" s="38">
        <f>Volumes!F445</f>
        <v>1</v>
      </c>
      <c r="G182" s="38">
        <f>Volumes!G445</f>
        <v>0</v>
      </c>
      <c r="H182" s="38">
        <f>Volumes!H445</f>
        <v>1</v>
      </c>
      <c r="I182" s="38">
        <f>Volumes!I445</f>
        <v>1</v>
      </c>
      <c r="J182" s="38">
        <f>Volumes!J445</f>
        <v>0</v>
      </c>
      <c r="K182" s="38">
        <f>Volumes!K445</f>
        <v>0</v>
      </c>
      <c r="L182" s="38">
        <f>Volumes!L445</f>
        <v>0</v>
      </c>
    </row>
    <row r="183" spans="2:12" ht="12.75" outlineLevel="1">
      <c r="B183" s="447" t="s">
        <v>275</v>
      </c>
      <c r="C183" s="447"/>
      <c r="D183" s="447"/>
      <c r="E183" s="109"/>
      <c r="F183" s="109"/>
      <c r="G183" s="109"/>
      <c r="H183" s="109"/>
      <c r="I183" s="109"/>
      <c r="J183" s="109"/>
      <c r="K183" s="109"/>
      <c r="L183" s="109"/>
    </row>
    <row r="184" spans="2:12" ht="12.75" outlineLevel="1">
      <c r="B184" s="448" t="s">
        <v>241</v>
      </c>
      <c r="C184" s="447"/>
      <c r="D184" s="447"/>
      <c r="E184" s="109"/>
      <c r="F184" s="109"/>
      <c r="G184" s="109"/>
      <c r="H184" s="109"/>
      <c r="I184" s="109"/>
      <c r="J184" s="109"/>
      <c r="K184" s="109"/>
      <c r="L184" s="109"/>
    </row>
    <row r="185" spans="2:12" ht="12.75" outlineLevel="1">
      <c r="B185" s="447" t="s">
        <v>230</v>
      </c>
      <c r="C185" s="447"/>
      <c r="D185" s="447"/>
      <c r="E185" s="38">
        <f>Volumes!E448</f>
        <v>0</v>
      </c>
      <c r="F185" s="38">
        <f>Volumes!F448</f>
        <v>0</v>
      </c>
      <c r="G185" s="38">
        <f>Volumes!G448</f>
        <v>1</v>
      </c>
      <c r="H185" s="38">
        <f>Volumes!H448</f>
        <v>1</v>
      </c>
      <c r="I185" s="38">
        <f>Volumes!I448</f>
        <v>0</v>
      </c>
      <c r="J185" s="38">
        <f>Volumes!J448</f>
        <v>1</v>
      </c>
      <c r="K185" s="38">
        <f>Volumes!K448</f>
        <v>0</v>
      </c>
      <c r="L185" s="38">
        <f>Volumes!L448</f>
        <v>0</v>
      </c>
    </row>
    <row r="186" spans="2:12" ht="12.75" outlineLevel="1">
      <c r="B186" s="447" t="s">
        <v>242</v>
      </c>
      <c r="C186" s="447"/>
      <c r="D186" s="447"/>
      <c r="E186" s="38">
        <f>Volumes!E449</f>
        <v>0</v>
      </c>
      <c r="F186" s="38">
        <f>Volumes!F449</f>
        <v>0</v>
      </c>
      <c r="G186" s="38">
        <f>Volumes!G449</f>
        <v>1</v>
      </c>
      <c r="H186" s="38">
        <f>Volumes!H449</f>
        <v>1</v>
      </c>
      <c r="I186" s="38">
        <f>Volumes!I449</f>
        <v>0</v>
      </c>
      <c r="J186" s="38">
        <f>Volumes!J449</f>
        <v>1</v>
      </c>
      <c r="K186" s="38">
        <f>Volumes!K449</f>
        <v>0</v>
      </c>
      <c r="L186" s="38">
        <f>Volumes!L449</f>
        <v>0</v>
      </c>
    </row>
    <row r="187" spans="2:12" ht="12.75" outlineLevel="1">
      <c r="B187" s="447" t="s">
        <v>232</v>
      </c>
      <c r="C187" s="447"/>
      <c r="D187" s="447"/>
      <c r="E187" s="38">
        <f>Volumes!E450</f>
        <v>0</v>
      </c>
      <c r="F187" s="38">
        <f>Volumes!F450</f>
        <v>0</v>
      </c>
      <c r="G187" s="38">
        <f>Volumes!G450</f>
        <v>1</v>
      </c>
      <c r="H187" s="38">
        <f>Volumes!H450</f>
        <v>1</v>
      </c>
      <c r="I187" s="38">
        <f>Volumes!I450</f>
        <v>0</v>
      </c>
      <c r="J187" s="38">
        <f>Volumes!J450</f>
        <v>1</v>
      </c>
      <c r="K187" s="38">
        <f>Volumes!K450</f>
        <v>0</v>
      </c>
      <c r="L187" s="38">
        <f>Volumes!L450</f>
        <v>0</v>
      </c>
    </row>
    <row r="188" spans="2:12" ht="12.75" outlineLevel="1">
      <c r="B188" s="447" t="s">
        <v>233</v>
      </c>
      <c r="C188" s="447"/>
      <c r="D188" s="447"/>
      <c r="E188" s="38">
        <f>Volumes!E451</f>
        <v>0</v>
      </c>
      <c r="F188" s="38">
        <f>Volumes!F451</f>
        <v>0</v>
      </c>
      <c r="G188" s="38">
        <f>Volumes!G451</f>
        <v>1</v>
      </c>
      <c r="H188" s="38">
        <f>Volumes!H451</f>
        <v>1</v>
      </c>
      <c r="I188" s="38">
        <f>Volumes!I451</f>
        <v>0</v>
      </c>
      <c r="J188" s="38">
        <f>Volumes!J451</f>
        <v>1</v>
      </c>
      <c r="K188" s="38">
        <f>Volumes!K451</f>
        <v>0</v>
      </c>
      <c r="L188" s="38">
        <f>Volumes!L451</f>
        <v>0</v>
      </c>
    </row>
    <row r="189" spans="2:12" ht="12.75" outlineLevel="1">
      <c r="B189" s="447" t="s">
        <v>234</v>
      </c>
      <c r="C189" s="447"/>
      <c r="D189" s="447"/>
      <c r="E189" s="38">
        <f>Volumes!E452</f>
        <v>0</v>
      </c>
      <c r="F189" s="38">
        <f>Volumes!F452</f>
        <v>0</v>
      </c>
      <c r="G189" s="38">
        <f>Volumes!G452</f>
        <v>0</v>
      </c>
      <c r="H189" s="38">
        <f>Volumes!H452</f>
        <v>1</v>
      </c>
      <c r="I189" s="38">
        <f>Volumes!I452</f>
        <v>0</v>
      </c>
      <c r="J189" s="38">
        <f>Volumes!J452</f>
        <v>0</v>
      </c>
      <c r="K189" s="38">
        <f>Volumes!K452</f>
        <v>0</v>
      </c>
      <c r="L189" s="38">
        <f>Volumes!L452</f>
        <v>0</v>
      </c>
    </row>
    <row r="190" spans="2:12" ht="12.75" outlineLevel="1">
      <c r="B190" s="447" t="s">
        <v>275</v>
      </c>
      <c r="C190" s="447"/>
      <c r="D190" s="447"/>
      <c r="E190" s="109"/>
      <c r="F190" s="109"/>
      <c r="G190" s="109"/>
      <c r="H190" s="109"/>
      <c r="I190" s="109"/>
      <c r="J190" s="109"/>
      <c r="K190" s="109"/>
      <c r="L190" s="109"/>
    </row>
    <row r="191" spans="2:12" ht="12.75" outlineLevel="1">
      <c r="B191" s="448" t="s">
        <v>243</v>
      </c>
      <c r="C191" s="447"/>
      <c r="D191" s="447"/>
      <c r="E191" s="109"/>
      <c r="F191" s="109"/>
      <c r="G191" s="109"/>
      <c r="H191" s="109"/>
      <c r="I191" s="109"/>
      <c r="J191" s="109"/>
      <c r="K191" s="109"/>
      <c r="L191" s="109"/>
    </row>
    <row r="192" spans="2:12" ht="12.75" outlineLevel="1">
      <c r="B192" s="447" t="s">
        <v>230</v>
      </c>
      <c r="C192" s="447"/>
      <c r="D192" s="447"/>
      <c r="E192" s="38">
        <f>Volumes!E455</f>
        <v>1</v>
      </c>
      <c r="F192" s="38">
        <f>Volumes!F455</f>
        <v>1</v>
      </c>
      <c r="G192" s="38">
        <f>Volumes!G455</f>
        <v>1</v>
      </c>
      <c r="H192" s="38">
        <f>Volumes!H455</f>
        <v>1</v>
      </c>
      <c r="I192" s="38">
        <f>Volumes!I455</f>
        <v>1</v>
      </c>
      <c r="J192" s="38">
        <f>Volumes!J455</f>
        <v>1</v>
      </c>
      <c r="K192" s="38">
        <f>Volumes!K455</f>
        <v>1</v>
      </c>
      <c r="L192" s="38">
        <f>Volumes!L455</f>
        <v>1</v>
      </c>
    </row>
    <row r="193" spans="2:12" ht="12.75" outlineLevel="1">
      <c r="B193" s="447" t="s">
        <v>242</v>
      </c>
      <c r="C193" s="447"/>
      <c r="D193" s="447"/>
      <c r="E193" s="38">
        <f>Volumes!E456</f>
        <v>1</v>
      </c>
      <c r="F193" s="38">
        <f>Volumes!F456</f>
        <v>1</v>
      </c>
      <c r="G193" s="38">
        <f>Volumes!G456</f>
        <v>1</v>
      </c>
      <c r="H193" s="38">
        <f>Volumes!H456</f>
        <v>1</v>
      </c>
      <c r="I193" s="38">
        <f>Volumes!I456</f>
        <v>1</v>
      </c>
      <c r="J193" s="38">
        <f>Volumes!J456</f>
        <v>1</v>
      </c>
      <c r="K193" s="38">
        <f>Volumes!K456</f>
        <v>1</v>
      </c>
      <c r="L193" s="38">
        <f>Volumes!L456</f>
        <v>1</v>
      </c>
    </row>
    <row r="194" spans="2:12" ht="12.75" outlineLevel="1">
      <c r="B194" s="447" t="s">
        <v>232</v>
      </c>
      <c r="C194" s="447"/>
      <c r="D194" s="447"/>
      <c r="E194" s="38">
        <f>Volumes!E457</f>
        <v>1</v>
      </c>
      <c r="F194" s="38">
        <f>Volumes!F457</f>
        <v>1</v>
      </c>
      <c r="G194" s="38">
        <f>Volumes!G457</f>
        <v>1</v>
      </c>
      <c r="H194" s="38">
        <f>Volumes!H457</f>
        <v>1</v>
      </c>
      <c r="I194" s="38">
        <f>Volumes!I457</f>
        <v>1</v>
      </c>
      <c r="J194" s="38">
        <f>Volumes!J457</f>
        <v>1</v>
      </c>
      <c r="K194" s="38">
        <f>Volumes!K457</f>
        <v>1</v>
      </c>
      <c r="L194" s="38">
        <f>Volumes!L457</f>
        <v>1</v>
      </c>
    </row>
    <row r="195" spans="2:12" ht="12.75" outlineLevel="1">
      <c r="B195" s="447" t="s">
        <v>233</v>
      </c>
      <c r="C195" s="447"/>
      <c r="D195" s="447"/>
      <c r="E195" s="38">
        <f>Volumes!E458</f>
        <v>1</v>
      </c>
      <c r="F195" s="38">
        <f>Volumes!F458</f>
        <v>1</v>
      </c>
      <c r="G195" s="38">
        <f>Volumes!G458</f>
        <v>1</v>
      </c>
      <c r="H195" s="38">
        <f>Volumes!H458</f>
        <v>1</v>
      </c>
      <c r="I195" s="38">
        <f>Volumes!I458</f>
        <v>1</v>
      </c>
      <c r="J195" s="38">
        <f>Volumes!J458</f>
        <v>1</v>
      </c>
      <c r="K195" s="38">
        <f>Volumes!K458</f>
        <v>1</v>
      </c>
      <c r="L195" s="38">
        <f>Volumes!L458</f>
        <v>1</v>
      </c>
    </row>
    <row r="196" spans="2:12" ht="12.75" outlineLevel="1">
      <c r="B196" s="447" t="s">
        <v>234</v>
      </c>
      <c r="C196" s="447"/>
      <c r="D196" s="447"/>
      <c r="E196" s="38">
        <f>Volumes!E459</f>
        <v>1</v>
      </c>
      <c r="F196" s="38">
        <f>Volumes!F459</f>
        <v>0</v>
      </c>
      <c r="G196" s="38">
        <f>Volumes!G459</f>
        <v>1</v>
      </c>
      <c r="H196" s="38">
        <f>Volumes!H459</f>
        <v>1</v>
      </c>
      <c r="I196" s="38">
        <f>Volumes!I459</f>
        <v>0</v>
      </c>
      <c r="J196" s="38">
        <f>Volumes!J459</f>
        <v>1</v>
      </c>
      <c r="K196" s="38">
        <f>Volumes!K459</f>
        <v>1</v>
      </c>
      <c r="L196" s="38">
        <f>Volumes!L459</f>
        <v>0</v>
      </c>
    </row>
    <row r="197" spans="2:12" ht="12.75" outlineLevel="1">
      <c r="B197" s="447" t="s">
        <v>275</v>
      </c>
      <c r="C197" s="447"/>
      <c r="D197" s="447"/>
      <c r="E197" s="109"/>
      <c r="F197" s="109"/>
      <c r="G197" s="109"/>
      <c r="H197" s="109"/>
      <c r="I197" s="109"/>
      <c r="J197" s="109"/>
      <c r="K197" s="109"/>
      <c r="L197" s="109"/>
    </row>
    <row r="198" spans="2:12" ht="12.75" outlineLevel="1">
      <c r="B198" s="448" t="s">
        <v>244</v>
      </c>
      <c r="C198" s="447"/>
      <c r="D198" s="447"/>
      <c r="E198" s="109"/>
      <c r="F198" s="109"/>
      <c r="G198" s="109"/>
      <c r="H198" s="109"/>
      <c r="I198" s="109"/>
      <c r="J198" s="109"/>
      <c r="K198" s="109"/>
      <c r="L198" s="109"/>
    </row>
    <row r="199" spans="2:12" ht="12.75" outlineLevel="1">
      <c r="B199" s="447" t="s">
        <v>230</v>
      </c>
      <c r="C199" s="447"/>
      <c r="D199" s="447"/>
      <c r="E199" s="38">
        <f>Volumes!E462</f>
        <v>1</v>
      </c>
      <c r="F199" s="38">
        <f>Volumes!F462</f>
        <v>1</v>
      </c>
      <c r="G199" s="38">
        <f>Volumes!G462</f>
        <v>1</v>
      </c>
      <c r="H199" s="38">
        <f>Volumes!H462</f>
        <v>1</v>
      </c>
      <c r="I199" s="38">
        <f>Volumes!I462</f>
        <v>1</v>
      </c>
      <c r="J199" s="38">
        <f>Volumes!J462</f>
        <v>1</v>
      </c>
      <c r="K199" s="38">
        <f>Volumes!K462</f>
        <v>1</v>
      </c>
      <c r="L199" s="38">
        <f>Volumes!L462</f>
        <v>1</v>
      </c>
    </row>
    <row r="200" spans="2:12" ht="12.75" outlineLevel="1">
      <c r="B200" s="447" t="s">
        <v>242</v>
      </c>
      <c r="C200" s="447"/>
      <c r="D200" s="447"/>
      <c r="E200" s="38">
        <f>Volumes!E463</f>
        <v>1</v>
      </c>
      <c r="F200" s="38">
        <f>Volumes!F463</f>
        <v>1</v>
      </c>
      <c r="G200" s="38">
        <f>Volumes!G463</f>
        <v>1</v>
      </c>
      <c r="H200" s="38">
        <f>Volumes!H463</f>
        <v>1</v>
      </c>
      <c r="I200" s="38">
        <f>Volumes!I463</f>
        <v>1</v>
      </c>
      <c r="J200" s="38">
        <f>Volumes!J463</f>
        <v>1</v>
      </c>
      <c r="K200" s="38">
        <f>Volumes!K463</f>
        <v>1</v>
      </c>
      <c r="L200" s="38">
        <f>Volumes!L463</f>
        <v>1</v>
      </c>
    </row>
    <row r="201" spans="2:12" ht="12.75" outlineLevel="1">
      <c r="B201" s="447" t="s">
        <v>232</v>
      </c>
      <c r="C201" s="447"/>
      <c r="D201" s="447"/>
      <c r="E201" s="38">
        <f>Volumes!E464</f>
        <v>1</v>
      </c>
      <c r="F201" s="38">
        <f>Volumes!F464</f>
        <v>1</v>
      </c>
      <c r="G201" s="38">
        <f>Volumes!G464</f>
        <v>1</v>
      </c>
      <c r="H201" s="38">
        <f>Volumes!H464</f>
        <v>1</v>
      </c>
      <c r="I201" s="38">
        <f>Volumes!I464</f>
        <v>1</v>
      </c>
      <c r="J201" s="38">
        <f>Volumes!J464</f>
        <v>1</v>
      </c>
      <c r="K201" s="38">
        <f>Volumes!K464</f>
        <v>1</v>
      </c>
      <c r="L201" s="38">
        <f>Volumes!L464</f>
        <v>1</v>
      </c>
    </row>
    <row r="202" spans="2:12" ht="12.75" outlineLevel="1">
      <c r="B202" s="447" t="s">
        <v>233</v>
      </c>
      <c r="C202" s="447"/>
      <c r="D202" s="447"/>
      <c r="E202" s="38">
        <f>Volumes!E465</f>
        <v>1</v>
      </c>
      <c r="F202" s="38">
        <f>Volumes!F465</f>
        <v>1</v>
      </c>
      <c r="G202" s="38">
        <f>Volumes!G465</f>
        <v>1</v>
      </c>
      <c r="H202" s="38">
        <f>Volumes!H465</f>
        <v>1</v>
      </c>
      <c r="I202" s="38">
        <f>Volumes!I465</f>
        <v>1</v>
      </c>
      <c r="J202" s="38">
        <f>Volumes!J465</f>
        <v>1</v>
      </c>
      <c r="K202" s="38">
        <f>Volumes!K465</f>
        <v>1</v>
      </c>
      <c r="L202" s="38">
        <f>Volumes!L465</f>
        <v>1</v>
      </c>
    </row>
    <row r="203" spans="2:12" ht="12.75" outlineLevel="1">
      <c r="B203" s="447" t="s">
        <v>234</v>
      </c>
      <c r="C203" s="447"/>
      <c r="D203" s="447"/>
      <c r="E203" s="38">
        <f>Volumes!E466</f>
        <v>1</v>
      </c>
      <c r="F203" s="38">
        <f>Volumes!F466</f>
        <v>0</v>
      </c>
      <c r="G203" s="38">
        <f>Volumes!G466</f>
        <v>1</v>
      </c>
      <c r="H203" s="38">
        <f>Volumes!H466</f>
        <v>1</v>
      </c>
      <c r="I203" s="38">
        <f>Volumes!I466</f>
        <v>0</v>
      </c>
      <c r="J203" s="38">
        <f>Volumes!J466</f>
        <v>1</v>
      </c>
      <c r="K203" s="38">
        <f>Volumes!K466</f>
        <v>1</v>
      </c>
      <c r="L203" s="38">
        <f>Volumes!L466</f>
        <v>0</v>
      </c>
    </row>
    <row r="204" spans="2:12" ht="12.75" outlineLevel="1">
      <c r="B204" s="447" t="s">
        <v>275</v>
      </c>
      <c r="C204" s="447"/>
      <c r="D204" s="447"/>
      <c r="E204" s="109"/>
      <c r="F204" s="109"/>
      <c r="G204" s="109"/>
      <c r="H204" s="109"/>
      <c r="I204" s="109"/>
      <c r="J204" s="109"/>
      <c r="K204" s="109"/>
      <c r="L204" s="109"/>
    </row>
    <row r="205" spans="2:12" ht="12.75" outlineLevel="1">
      <c r="B205" s="448" t="s">
        <v>245</v>
      </c>
      <c r="C205" s="447"/>
      <c r="D205" s="447"/>
      <c r="E205" s="109"/>
      <c r="F205" s="109"/>
      <c r="G205" s="109"/>
      <c r="H205" s="109"/>
      <c r="I205" s="109"/>
      <c r="J205" s="109"/>
      <c r="K205" s="109"/>
      <c r="L205" s="109"/>
    </row>
    <row r="206" spans="2:12" ht="12.75" outlineLevel="1">
      <c r="B206" s="447" t="s">
        <v>230</v>
      </c>
      <c r="C206" s="447"/>
      <c r="D206" s="447"/>
      <c r="E206" s="38">
        <f>Volumes!E469</f>
        <v>1</v>
      </c>
      <c r="F206" s="38">
        <f>Volumes!F469</f>
        <v>1</v>
      </c>
      <c r="G206" s="38">
        <f>Volumes!G469</f>
        <v>0</v>
      </c>
      <c r="H206" s="38">
        <f>Volumes!H469</f>
        <v>1</v>
      </c>
      <c r="I206" s="38">
        <f>Volumes!I469</f>
        <v>1</v>
      </c>
      <c r="J206" s="38">
        <f>Volumes!J469</f>
        <v>1</v>
      </c>
      <c r="K206" s="38">
        <f>Volumes!K469</f>
        <v>1</v>
      </c>
      <c r="L206" s="38">
        <f>Volumes!L469</f>
        <v>1</v>
      </c>
    </row>
    <row r="207" spans="2:12" ht="12.75" outlineLevel="1">
      <c r="B207" s="447" t="s">
        <v>242</v>
      </c>
      <c r="C207" s="447"/>
      <c r="D207" s="447"/>
      <c r="E207" s="38">
        <f>Volumes!E470</f>
        <v>1</v>
      </c>
      <c r="F207" s="38">
        <f>Volumes!F470</f>
        <v>1</v>
      </c>
      <c r="G207" s="38">
        <f>Volumes!G470</f>
        <v>0</v>
      </c>
      <c r="H207" s="38">
        <f>Volumes!H470</f>
        <v>1</v>
      </c>
      <c r="I207" s="38">
        <f>Volumes!I470</f>
        <v>1</v>
      </c>
      <c r="J207" s="38">
        <f>Volumes!J470</f>
        <v>1</v>
      </c>
      <c r="K207" s="38">
        <f>Volumes!K470</f>
        <v>1</v>
      </c>
      <c r="L207" s="38">
        <f>Volumes!L470</f>
        <v>1</v>
      </c>
    </row>
    <row r="208" spans="2:12" ht="12.75" outlineLevel="1">
      <c r="B208" s="447" t="s">
        <v>246</v>
      </c>
      <c r="C208" s="447"/>
      <c r="D208" s="447"/>
      <c r="E208" s="38">
        <f>Volumes!E471</f>
        <v>1</v>
      </c>
      <c r="F208" s="38">
        <f>Volumes!F471</f>
        <v>1</v>
      </c>
      <c r="G208" s="38">
        <f>Volumes!G471</f>
        <v>0</v>
      </c>
      <c r="H208" s="38">
        <f>Volumes!H471</f>
        <v>1</v>
      </c>
      <c r="I208" s="38">
        <f>Volumes!I471</f>
        <v>1</v>
      </c>
      <c r="J208" s="38">
        <f>Volumes!J471</f>
        <v>1</v>
      </c>
      <c r="K208" s="38">
        <f>Volumes!K471</f>
        <v>1</v>
      </c>
      <c r="L208" s="38">
        <f>Volumes!L471</f>
        <v>1</v>
      </c>
    </row>
    <row r="209" spans="2:12" ht="12.75" outlineLevel="1">
      <c r="B209" s="447" t="s">
        <v>233</v>
      </c>
      <c r="C209" s="447"/>
      <c r="D209" s="447"/>
      <c r="E209" s="38">
        <f>Volumes!E472</f>
        <v>1</v>
      </c>
      <c r="F209" s="38">
        <f>Volumes!F472</f>
        <v>1</v>
      </c>
      <c r="G209" s="38">
        <f>Volumes!G472</f>
        <v>0</v>
      </c>
      <c r="H209" s="38">
        <f>Volumes!H472</f>
        <v>1</v>
      </c>
      <c r="I209" s="38">
        <f>Volumes!I472</f>
        <v>1</v>
      </c>
      <c r="J209" s="38">
        <f>Volumes!J472</f>
        <v>1</v>
      </c>
      <c r="K209" s="38">
        <f>Volumes!K472</f>
        <v>1</v>
      </c>
      <c r="L209" s="38">
        <f>Volumes!L472</f>
        <v>1</v>
      </c>
    </row>
    <row r="210" spans="2:12" ht="12.75" outlineLevel="1">
      <c r="B210" s="447" t="s">
        <v>234</v>
      </c>
      <c r="C210" s="447"/>
      <c r="D210" s="447"/>
      <c r="E210" s="38">
        <f>Volumes!E473</f>
        <v>1</v>
      </c>
      <c r="F210" s="38">
        <f>Volumes!F473</f>
        <v>0</v>
      </c>
      <c r="G210" s="38">
        <f>Volumes!G473</f>
        <v>0</v>
      </c>
      <c r="H210" s="547">
        <v>0</v>
      </c>
      <c r="I210" s="38">
        <f>Volumes!I473</f>
        <v>0</v>
      </c>
      <c r="J210" s="38">
        <f>Volumes!J473</f>
        <v>1</v>
      </c>
      <c r="K210" s="38">
        <f>Volumes!K473</f>
        <v>1</v>
      </c>
      <c r="L210" s="38">
        <f>Volumes!L473</f>
        <v>0</v>
      </c>
    </row>
    <row r="211" spans="2:12" ht="12.75" outlineLevel="1">
      <c r="B211" s="447" t="s">
        <v>275</v>
      </c>
      <c r="C211" s="447"/>
      <c r="D211" s="447"/>
      <c r="E211" s="109"/>
      <c r="F211" s="109"/>
      <c r="G211" s="109"/>
      <c r="H211" s="109"/>
      <c r="I211" s="109"/>
      <c r="J211" s="109"/>
      <c r="K211" s="109"/>
      <c r="L211" s="109"/>
    </row>
    <row r="212" spans="2:12" ht="12.75" outlineLevel="1">
      <c r="B212" s="550" t="s">
        <v>247</v>
      </c>
      <c r="C212" s="454"/>
      <c r="D212" s="454"/>
      <c r="E212" s="109"/>
      <c r="F212" s="109"/>
      <c r="G212" s="109"/>
      <c r="H212" s="109"/>
      <c r="I212" s="109"/>
      <c r="J212" s="109"/>
      <c r="K212" s="109"/>
      <c r="L212" s="109"/>
    </row>
    <row r="213" spans="2:12" ht="12.75" outlineLevel="1">
      <c r="B213" s="551" t="s">
        <v>230</v>
      </c>
      <c r="C213" s="454"/>
      <c r="D213" s="454"/>
      <c r="E213" s="552"/>
      <c r="F213" s="552"/>
      <c r="G213" s="552"/>
      <c r="H213" s="552"/>
      <c r="I213" s="552"/>
      <c r="J213" s="552"/>
      <c r="K213" s="552"/>
      <c r="L213" s="552"/>
    </row>
    <row r="214" spans="2:12" ht="12.75" outlineLevel="1">
      <c r="B214" s="551" t="s">
        <v>242</v>
      </c>
      <c r="C214" s="454"/>
      <c r="D214" s="454"/>
      <c r="E214" s="552"/>
      <c r="F214" s="552"/>
      <c r="G214" s="552"/>
      <c r="H214" s="552"/>
      <c r="I214" s="552"/>
      <c r="J214" s="552"/>
      <c r="K214" s="552"/>
      <c r="L214" s="552"/>
    </row>
    <row r="215" spans="2:12" ht="12.75" outlineLevel="1">
      <c r="B215" s="551" t="s">
        <v>246</v>
      </c>
      <c r="C215" s="454"/>
      <c r="D215" s="454"/>
      <c r="E215" s="552"/>
      <c r="F215" s="552"/>
      <c r="G215" s="552"/>
      <c r="H215" s="552"/>
      <c r="I215" s="552"/>
      <c r="J215" s="552"/>
      <c r="K215" s="552"/>
      <c r="L215" s="552"/>
    </row>
    <row r="216" spans="2:12" ht="12.75" outlineLevel="1">
      <c r="B216" s="551" t="s">
        <v>233</v>
      </c>
      <c r="C216" s="454"/>
      <c r="D216" s="454"/>
      <c r="E216" s="552"/>
      <c r="F216" s="552"/>
      <c r="G216" s="552"/>
      <c r="H216" s="552"/>
      <c r="I216" s="552"/>
      <c r="J216" s="552"/>
      <c r="K216" s="552"/>
      <c r="L216" s="552"/>
    </row>
    <row r="217" spans="2:12" ht="12.75" outlineLevel="1">
      <c r="B217" s="551" t="s">
        <v>275</v>
      </c>
      <c r="C217" s="454"/>
      <c r="D217" s="454"/>
      <c r="E217" s="109"/>
      <c r="F217" s="109"/>
      <c r="G217" s="109"/>
      <c r="H217" s="109"/>
      <c r="I217" s="109"/>
      <c r="J217" s="109"/>
      <c r="K217" s="109"/>
      <c r="L217" s="109"/>
    </row>
    <row r="218" spans="2:12" ht="12.75" outlineLevel="1">
      <c r="B218" s="550" t="s">
        <v>248</v>
      </c>
      <c r="C218" s="454"/>
      <c r="D218" s="454"/>
      <c r="E218" s="109"/>
      <c r="F218" s="109"/>
      <c r="G218" s="109"/>
      <c r="H218" s="109"/>
      <c r="I218" s="109"/>
      <c r="J218" s="109"/>
      <c r="K218" s="109"/>
      <c r="L218" s="109"/>
    </row>
    <row r="219" spans="2:12" ht="12.75" outlineLevel="1">
      <c r="B219" s="551" t="s">
        <v>230</v>
      </c>
      <c r="C219" s="454"/>
      <c r="D219" s="454"/>
      <c r="E219" s="552"/>
      <c r="F219" s="552"/>
      <c r="G219" s="552"/>
      <c r="H219" s="552"/>
      <c r="I219" s="552"/>
      <c r="J219" s="552"/>
      <c r="K219" s="552"/>
      <c r="L219" s="552"/>
    </row>
    <row r="220" spans="2:12" ht="12.75" outlineLevel="1">
      <c r="B220" s="551" t="s">
        <v>242</v>
      </c>
      <c r="C220" s="454"/>
      <c r="D220" s="454"/>
      <c r="E220" s="552"/>
      <c r="F220" s="552"/>
      <c r="G220" s="552"/>
      <c r="H220" s="552"/>
      <c r="I220" s="552"/>
      <c r="J220" s="552"/>
      <c r="K220" s="552"/>
      <c r="L220" s="552"/>
    </row>
    <row r="221" spans="2:12" ht="12.75" outlineLevel="1">
      <c r="B221" s="551" t="s">
        <v>249</v>
      </c>
      <c r="C221" s="454"/>
      <c r="D221" s="454"/>
      <c r="E221" s="552"/>
      <c r="F221" s="552"/>
      <c r="G221" s="552"/>
      <c r="H221" s="552"/>
      <c r="I221" s="552"/>
      <c r="J221" s="552"/>
      <c r="K221" s="552"/>
      <c r="L221" s="552"/>
    </row>
    <row r="222" spans="2:12" ht="12.75" outlineLevel="1">
      <c r="B222" s="551" t="s">
        <v>275</v>
      </c>
      <c r="C222" s="454"/>
      <c r="D222" s="454"/>
      <c r="E222" s="109"/>
      <c r="F222" s="109"/>
      <c r="G222" s="109"/>
      <c r="H222" s="109"/>
      <c r="I222" s="109"/>
      <c r="J222" s="109"/>
      <c r="K222" s="109"/>
      <c r="L222" s="109"/>
    </row>
    <row r="223" spans="2:12" ht="12.75" outlineLevel="1">
      <c r="B223" s="550" t="s">
        <v>250</v>
      </c>
      <c r="C223" s="454"/>
      <c r="D223" s="454"/>
      <c r="E223" s="109"/>
      <c r="F223" s="109"/>
      <c r="G223" s="109"/>
      <c r="H223" s="109"/>
      <c r="I223" s="109"/>
      <c r="J223" s="109"/>
      <c r="K223" s="109"/>
      <c r="L223" s="109"/>
    </row>
    <row r="224" spans="2:12" ht="12.75" outlineLevel="1">
      <c r="B224" s="551" t="s">
        <v>230</v>
      </c>
      <c r="C224" s="454"/>
      <c r="D224" s="454"/>
      <c r="E224" s="552"/>
      <c r="F224" s="552"/>
      <c r="G224" s="552"/>
      <c r="H224" s="552"/>
      <c r="I224" s="552"/>
      <c r="J224" s="552"/>
      <c r="K224" s="552"/>
      <c r="L224" s="552"/>
    </row>
    <row r="225" spans="2:12" ht="12.75" outlineLevel="1">
      <c r="B225" s="551" t="s">
        <v>246</v>
      </c>
      <c r="C225" s="454"/>
      <c r="D225" s="454"/>
      <c r="E225" s="552"/>
      <c r="F225" s="552"/>
      <c r="G225" s="552"/>
      <c r="H225" s="552"/>
      <c r="I225" s="552"/>
      <c r="J225" s="552"/>
      <c r="K225" s="552"/>
      <c r="L225" s="552"/>
    </row>
    <row r="226" spans="2:12" ht="12.75" outlineLevel="1">
      <c r="B226" s="551" t="s">
        <v>233</v>
      </c>
      <c r="C226" s="454"/>
      <c r="D226" s="454"/>
      <c r="E226" s="552"/>
      <c r="F226" s="552"/>
      <c r="G226" s="552"/>
      <c r="H226" s="552"/>
      <c r="I226" s="552"/>
      <c r="J226" s="552"/>
      <c r="K226" s="552"/>
      <c r="L226" s="552"/>
    </row>
    <row r="227" spans="2:12" ht="12.75" outlineLevel="1">
      <c r="B227" s="551" t="s">
        <v>275</v>
      </c>
      <c r="C227" s="454"/>
      <c r="D227" s="454"/>
      <c r="E227" s="109"/>
      <c r="F227" s="109"/>
      <c r="G227" s="109"/>
      <c r="H227" s="109"/>
      <c r="I227" s="109"/>
      <c r="J227" s="109"/>
      <c r="K227" s="109"/>
      <c r="L227" s="109"/>
    </row>
    <row r="228" spans="2:12" ht="12.75" outlineLevel="1">
      <c r="B228" s="550" t="s">
        <v>251</v>
      </c>
      <c r="C228" s="454"/>
      <c r="D228" s="454"/>
      <c r="E228" s="109"/>
      <c r="F228" s="109"/>
      <c r="G228" s="109"/>
      <c r="H228" s="109"/>
      <c r="I228" s="109"/>
      <c r="J228" s="109"/>
      <c r="K228" s="109"/>
      <c r="L228" s="109"/>
    </row>
    <row r="229" spans="2:12" ht="12.75" outlineLevel="1">
      <c r="B229" s="551" t="s">
        <v>230</v>
      </c>
      <c r="C229" s="454"/>
      <c r="D229" s="454"/>
      <c r="E229" s="552"/>
      <c r="F229" s="552"/>
      <c r="G229" s="552"/>
      <c r="H229" s="552"/>
      <c r="I229" s="552"/>
      <c r="J229" s="552"/>
      <c r="K229" s="552"/>
      <c r="L229" s="552"/>
    </row>
    <row r="230" spans="2:12" ht="12.75" outlineLevel="1">
      <c r="B230" s="551" t="s">
        <v>249</v>
      </c>
      <c r="C230" s="454"/>
      <c r="D230" s="454"/>
      <c r="E230" s="552"/>
      <c r="F230" s="552"/>
      <c r="G230" s="552"/>
      <c r="H230" s="552"/>
      <c r="I230" s="552"/>
      <c r="J230" s="552"/>
      <c r="K230" s="552"/>
      <c r="L230" s="552"/>
    </row>
    <row r="231" spans="2:12" ht="12.75" outlineLevel="1">
      <c r="B231" s="551" t="s">
        <v>275</v>
      </c>
      <c r="C231" s="454"/>
      <c r="D231" s="454"/>
      <c r="E231" s="109"/>
      <c r="F231" s="109"/>
      <c r="G231" s="109"/>
      <c r="H231" s="109"/>
      <c r="I231" s="109"/>
      <c r="J231" s="109"/>
      <c r="K231" s="109"/>
      <c r="L231" s="109"/>
    </row>
    <row r="232" spans="2:12" ht="12.75" outlineLevel="1">
      <c r="B232" s="550" t="s">
        <v>257</v>
      </c>
      <c r="C232" s="454"/>
      <c r="D232" s="454"/>
      <c r="E232" s="109"/>
      <c r="F232" s="109"/>
      <c r="G232" s="109"/>
      <c r="H232" s="109"/>
      <c r="I232" s="109"/>
      <c r="J232" s="109"/>
      <c r="K232" s="109"/>
      <c r="L232" s="109"/>
    </row>
    <row r="233" spans="2:12" ht="12.75" outlineLevel="1">
      <c r="B233" s="551" t="s">
        <v>230</v>
      </c>
      <c r="C233" s="454"/>
      <c r="D233" s="454"/>
      <c r="E233" s="552"/>
      <c r="F233" s="552"/>
      <c r="G233" s="552"/>
      <c r="H233" s="552"/>
      <c r="I233" s="552"/>
      <c r="J233" s="552"/>
      <c r="K233" s="552"/>
      <c r="L233" s="552"/>
    </row>
    <row r="234" spans="2:12" ht="12.75" outlineLevel="1">
      <c r="B234" s="551" t="s">
        <v>246</v>
      </c>
      <c r="C234" s="454"/>
      <c r="D234" s="454"/>
      <c r="E234" s="552"/>
      <c r="F234" s="552"/>
      <c r="G234" s="552"/>
      <c r="H234" s="552"/>
      <c r="I234" s="552"/>
      <c r="J234" s="552"/>
      <c r="K234" s="552"/>
      <c r="L234" s="552"/>
    </row>
    <row r="235" spans="2:12" ht="12.75" outlineLevel="1">
      <c r="B235" s="551" t="s">
        <v>233</v>
      </c>
      <c r="C235" s="454"/>
      <c r="D235" s="454"/>
      <c r="E235" s="552"/>
      <c r="F235" s="552"/>
      <c r="G235" s="552"/>
      <c r="H235" s="552"/>
      <c r="I235" s="552"/>
      <c r="J235" s="552"/>
      <c r="K235" s="552"/>
      <c r="L235" s="552"/>
    </row>
    <row r="236" spans="2:12" ht="12.75" outlineLevel="1">
      <c r="B236" s="447"/>
      <c r="C236" s="447"/>
      <c r="D236" s="447"/>
      <c r="E236" s="109"/>
      <c r="F236" s="109"/>
      <c r="G236" s="109"/>
      <c r="H236" s="109"/>
      <c r="I236" s="109"/>
      <c r="J236" s="109"/>
      <c r="K236" s="109"/>
      <c r="L236" s="109"/>
    </row>
    <row r="237" spans="2:12" ht="12.75" outlineLevel="1">
      <c r="B237" s="448" t="s">
        <v>263</v>
      </c>
      <c r="C237" s="471"/>
      <c r="D237" s="471"/>
      <c r="E237" s="109"/>
      <c r="F237" s="109"/>
      <c r="G237" s="109"/>
      <c r="H237" s="109"/>
      <c r="I237" s="109"/>
      <c r="J237" s="109"/>
      <c r="K237" s="109"/>
      <c r="L237" s="109"/>
    </row>
    <row r="238" spans="2:12" ht="12.75" outlineLevel="1">
      <c r="B238" s="447" t="s">
        <v>264</v>
      </c>
      <c r="C238" s="472"/>
      <c r="D238" s="472"/>
      <c r="E238" s="38">
        <f>Volumes!E501</f>
        <v>1</v>
      </c>
      <c r="F238" s="38">
        <f>Volumes!F501</f>
        <v>1</v>
      </c>
      <c r="G238" s="38">
        <f>Volumes!G501</f>
        <v>1</v>
      </c>
      <c r="H238" s="38">
        <f>Volumes!H501</f>
        <v>1</v>
      </c>
      <c r="I238" s="38">
        <f>Volumes!I501</f>
        <v>1</v>
      </c>
      <c r="J238" s="38">
        <f>Volumes!J501</f>
        <v>1</v>
      </c>
      <c r="K238" s="38">
        <f>Volumes!K501</f>
        <v>1</v>
      </c>
      <c r="L238" s="38">
        <f>Volumes!L501</f>
        <v>1</v>
      </c>
    </row>
    <row r="239" spans="2:12" ht="12.75" outlineLevel="1">
      <c r="B239" s="447" t="s">
        <v>265</v>
      </c>
      <c r="C239" s="472"/>
      <c r="D239" s="472"/>
      <c r="E239" s="38">
        <f>Volumes!E502</f>
        <v>1</v>
      </c>
      <c r="F239" s="38">
        <f>Volumes!F502</f>
        <v>1</v>
      </c>
      <c r="G239" s="38">
        <f>Volumes!G502</f>
        <v>1</v>
      </c>
      <c r="H239" s="38">
        <f>Volumes!H502</f>
        <v>1</v>
      </c>
      <c r="I239" s="38">
        <f>Volumes!I502</f>
        <v>1</v>
      </c>
      <c r="J239" s="38">
        <f>Volumes!J502</f>
        <v>1</v>
      </c>
      <c r="K239" s="38">
        <f>Volumes!K502</f>
        <v>1</v>
      </c>
      <c r="L239" s="38">
        <f>Volumes!L502</f>
        <v>1</v>
      </c>
    </row>
    <row r="240" spans="2:12" ht="12.75" outlineLevel="1">
      <c r="B240" s="447"/>
      <c r="C240" s="472"/>
      <c r="D240" s="472"/>
      <c r="E240" s="109"/>
      <c r="F240" s="109"/>
      <c r="G240" s="109"/>
      <c r="H240" s="109"/>
      <c r="I240" s="109"/>
      <c r="J240" s="109"/>
      <c r="K240" s="109"/>
      <c r="L240" s="109"/>
    </row>
    <row r="241" spans="2:12" ht="12.75" outlineLevel="1">
      <c r="B241" s="448" t="s">
        <v>266</v>
      </c>
      <c r="C241" s="471"/>
      <c r="D241" s="471"/>
      <c r="E241" s="109"/>
      <c r="F241" s="109"/>
      <c r="G241" s="109"/>
      <c r="H241" s="109"/>
      <c r="I241" s="109"/>
      <c r="J241" s="109"/>
      <c r="K241" s="109"/>
      <c r="L241" s="109"/>
    </row>
    <row r="242" spans="2:12" ht="12.75" outlineLevel="1">
      <c r="B242" s="447" t="s">
        <v>267</v>
      </c>
      <c r="C242" s="472"/>
      <c r="D242" s="472"/>
      <c r="E242" s="38">
        <f>Volumes!E505</f>
        <v>1</v>
      </c>
      <c r="F242" s="38">
        <f>Volumes!F505</f>
        <v>1</v>
      </c>
      <c r="G242" s="38">
        <f>Volumes!G505</f>
        <v>1</v>
      </c>
      <c r="H242" s="38">
        <f>Volumes!H505</f>
        <v>1</v>
      </c>
      <c r="I242" s="38">
        <f>Volumes!I505</f>
        <v>1</v>
      </c>
      <c r="J242" s="38">
        <f>Volumes!J505</f>
        <v>1</v>
      </c>
      <c r="K242" s="38">
        <f>Volumes!K505</f>
        <v>1</v>
      </c>
      <c r="L242" s="38">
        <f>Volumes!L505</f>
        <v>1</v>
      </c>
    </row>
    <row r="243" spans="2:12" ht="12.75" outlineLevel="1">
      <c r="B243" s="447" t="s">
        <v>268</v>
      </c>
      <c r="C243" s="472"/>
      <c r="D243" s="472"/>
      <c r="E243" s="38">
        <f>Volumes!E506</f>
        <v>1</v>
      </c>
      <c r="F243" s="38">
        <f>Volumes!F506</f>
        <v>1</v>
      </c>
      <c r="G243" s="38">
        <f>Volumes!G506</f>
        <v>1</v>
      </c>
      <c r="H243" s="38">
        <f>Volumes!H506</f>
        <v>1</v>
      </c>
      <c r="I243" s="38">
        <f>Volumes!I506</f>
        <v>1</v>
      </c>
      <c r="J243" s="38">
        <f>Volumes!J506</f>
        <v>1</v>
      </c>
      <c r="K243" s="38">
        <f>Volumes!K506</f>
        <v>1</v>
      </c>
      <c r="L243" s="38">
        <f>Volumes!L506</f>
        <v>1</v>
      </c>
    </row>
    <row r="244" spans="2:12" ht="12.75" outlineLevel="1">
      <c r="B244" s="447" t="s">
        <v>269</v>
      </c>
      <c r="C244" s="472"/>
      <c r="D244" s="472"/>
      <c r="E244" s="38">
        <f>Volumes!E507</f>
        <v>1</v>
      </c>
      <c r="F244" s="38">
        <f>Volumes!F507</f>
        <v>1</v>
      </c>
      <c r="G244" s="38">
        <f>Volumes!G507</f>
        <v>1</v>
      </c>
      <c r="H244" s="38">
        <f>Volumes!H507</f>
        <v>1</v>
      </c>
      <c r="I244" s="38">
        <f>Volumes!I507</f>
        <v>1</v>
      </c>
      <c r="J244" s="38">
        <f>Volumes!J507</f>
        <v>1</v>
      </c>
      <c r="K244" s="38">
        <f>Volumes!K507</f>
        <v>1</v>
      </c>
      <c r="L244" s="38">
        <f>Volumes!L507</f>
        <v>1</v>
      </c>
    </row>
    <row r="245" spans="2:12" ht="12.75" outlineLevel="1">
      <c r="B245" s="447" t="s">
        <v>270</v>
      </c>
      <c r="C245" s="472"/>
      <c r="D245" s="472"/>
      <c r="E245" s="38">
        <f>Volumes!E508</f>
        <v>1</v>
      </c>
      <c r="F245" s="38">
        <f>Volumes!F508</f>
        <v>1</v>
      </c>
      <c r="G245" s="38">
        <f>Volumes!G508</f>
        <v>1</v>
      </c>
      <c r="H245" s="38">
        <f>Volumes!H508</f>
        <v>1</v>
      </c>
      <c r="I245" s="38">
        <f>Volumes!I508</f>
        <v>1</v>
      </c>
      <c r="J245" s="38">
        <f>Volumes!J508</f>
        <v>1</v>
      </c>
      <c r="K245" s="38">
        <f>Volumes!K508</f>
        <v>1</v>
      </c>
      <c r="L245" s="38">
        <f>Volumes!L508</f>
        <v>1</v>
      </c>
    </row>
    <row r="246" spans="2:12" ht="12.75" outlineLevel="1">
      <c r="B246" s="447" t="s">
        <v>271</v>
      </c>
      <c r="C246" s="472"/>
      <c r="D246" s="472"/>
      <c r="E246" s="38">
        <f>Volumes!E509</f>
        <v>1</v>
      </c>
      <c r="F246" s="38">
        <f>Volumes!F509</f>
        <v>1</v>
      </c>
      <c r="G246" s="38">
        <f>Volumes!G509</f>
        <v>1</v>
      </c>
      <c r="H246" s="38">
        <f>Volumes!H509</f>
        <v>1</v>
      </c>
      <c r="I246" s="38">
        <f>Volumes!I509</f>
        <v>1</v>
      </c>
      <c r="J246" s="38">
        <f>Volumes!J509</f>
        <v>1</v>
      </c>
      <c r="K246" s="38">
        <f>Volumes!K509</f>
        <v>1</v>
      </c>
      <c r="L246" s="38">
        <f>Volumes!L509</f>
        <v>1</v>
      </c>
    </row>
    <row r="247" spans="2:12" ht="12.75" outlineLevel="1">
      <c r="B247" s="447" t="s">
        <v>272</v>
      </c>
      <c r="C247" s="472"/>
      <c r="D247" s="472"/>
      <c r="E247" s="38">
        <f>Volumes!E510</f>
        <v>1</v>
      </c>
      <c r="F247" s="38">
        <f>Volumes!F510</f>
        <v>1</v>
      </c>
      <c r="G247" s="38">
        <f>Volumes!G510</f>
        <v>1</v>
      </c>
      <c r="H247" s="38">
        <f>Volumes!H510</f>
        <v>1</v>
      </c>
      <c r="I247" s="38">
        <f>Volumes!I510</f>
        <v>1</v>
      </c>
      <c r="J247" s="38">
        <f>Volumes!J510</f>
        <v>1</v>
      </c>
      <c r="K247" s="38">
        <f>Volumes!K510</f>
        <v>1</v>
      </c>
      <c r="L247" s="38">
        <f>Volumes!L510</f>
        <v>1</v>
      </c>
    </row>
    <row r="248" spans="2:12" ht="12.75" outlineLevel="1">
      <c r="B248" s="473"/>
      <c r="C248" s="473"/>
      <c r="D248" s="473"/>
      <c r="E248" s="109"/>
      <c r="F248" s="109"/>
      <c r="G248" s="109"/>
      <c r="H248" s="109"/>
      <c r="I248" s="109"/>
      <c r="J248" s="109"/>
      <c r="K248" s="109"/>
      <c r="L248" s="109"/>
    </row>
    <row r="249" spans="2:12" ht="12.75" outlineLevel="1">
      <c r="B249" s="448" t="s">
        <v>252</v>
      </c>
      <c r="C249" s="448"/>
      <c r="D249" s="448"/>
      <c r="E249" s="109"/>
      <c r="F249" s="109"/>
      <c r="G249" s="109"/>
      <c r="H249" s="109"/>
      <c r="I249" s="109"/>
      <c r="J249" s="109"/>
      <c r="K249" s="109"/>
      <c r="L249" s="109"/>
    </row>
    <row r="250" spans="2:12" ht="12.75" outlineLevel="1">
      <c r="B250" s="447" t="s">
        <v>275</v>
      </c>
      <c r="C250" s="447"/>
      <c r="D250" s="447"/>
      <c r="E250" s="109"/>
      <c r="F250" s="109"/>
      <c r="G250" s="109"/>
      <c r="H250" s="109"/>
      <c r="I250" s="109"/>
      <c r="J250" s="109"/>
      <c r="K250" s="109"/>
      <c r="L250" s="109"/>
    </row>
    <row r="251" spans="2:12" ht="12.75" outlineLevel="1">
      <c r="B251" s="446" t="s">
        <v>404</v>
      </c>
      <c r="C251" s="446"/>
      <c r="D251" s="446"/>
      <c r="E251" s="38">
        <f>Volumes!E514</f>
        <v>1</v>
      </c>
      <c r="F251" s="38">
        <f>Volumes!F514</f>
        <v>1</v>
      </c>
      <c r="G251" s="38">
        <f>Volumes!G514</f>
        <v>1</v>
      </c>
      <c r="H251" s="38">
        <f>Volumes!H514</f>
        <v>1</v>
      </c>
      <c r="I251" s="38">
        <f>Volumes!I514</f>
        <v>1</v>
      </c>
      <c r="J251" s="38">
        <f>Volumes!J514</f>
        <v>1</v>
      </c>
      <c r="K251" s="38">
        <f>Volumes!K514</f>
        <v>1</v>
      </c>
      <c r="L251" s="38">
        <f>Volumes!L514</f>
        <v>1</v>
      </c>
    </row>
    <row r="252" spans="2:12" ht="12.75" outlineLevel="1">
      <c r="B252" s="446" t="s">
        <v>405</v>
      </c>
      <c r="C252" s="446"/>
      <c r="D252" s="446"/>
      <c r="E252" s="38">
        <f>Volumes!E515</f>
        <v>1</v>
      </c>
      <c r="F252" s="38">
        <f>Volumes!F515</f>
        <v>1</v>
      </c>
      <c r="G252" s="38">
        <f>Volumes!G515</f>
        <v>1</v>
      </c>
      <c r="H252" s="38">
        <f>Volumes!H515</f>
        <v>1</v>
      </c>
      <c r="I252" s="38">
        <f>Volumes!I515</f>
        <v>1</v>
      </c>
      <c r="J252" s="38">
        <f>Volumes!J515</f>
        <v>1</v>
      </c>
      <c r="K252" s="38">
        <f>Volumes!K515</f>
        <v>1</v>
      </c>
      <c r="L252" s="38">
        <f>Volumes!L515</f>
        <v>1</v>
      </c>
    </row>
    <row r="253" spans="2:12" ht="12.75" outlineLevel="1">
      <c r="B253" s="446" t="s">
        <v>406</v>
      </c>
      <c r="C253" s="446"/>
      <c r="D253" s="446"/>
      <c r="E253" s="38">
        <f>Volumes!E516</f>
        <v>1</v>
      </c>
      <c r="F253" s="38">
        <f>Volumes!F516</f>
        <v>1</v>
      </c>
      <c r="G253" s="38">
        <f>Volumes!G516</f>
        <v>1</v>
      </c>
      <c r="H253" s="38">
        <f>Volumes!H516</f>
        <v>1</v>
      </c>
      <c r="I253" s="38">
        <f>Volumes!I516</f>
        <v>1</v>
      </c>
      <c r="J253" s="38">
        <f>Volumes!J516</f>
        <v>1</v>
      </c>
      <c r="K253" s="38">
        <f>Volumes!K516</f>
        <v>1</v>
      </c>
      <c r="L253" s="38">
        <f>Volumes!L516</f>
        <v>1</v>
      </c>
    </row>
    <row r="254" spans="2:12" ht="12.75" outlineLevel="1">
      <c r="B254" s="446" t="s">
        <v>394</v>
      </c>
      <c r="C254" s="446"/>
      <c r="D254" s="446"/>
      <c r="E254" s="38">
        <f>Volumes!E517</f>
        <v>1</v>
      </c>
      <c r="F254" s="38">
        <f>Volumes!F517</f>
        <v>1</v>
      </c>
      <c r="G254" s="38">
        <f>Volumes!G517</f>
        <v>1</v>
      </c>
      <c r="H254" s="38">
        <f>Volumes!H517</f>
        <v>1</v>
      </c>
      <c r="I254" s="38">
        <f>Volumes!I517</f>
        <v>1</v>
      </c>
      <c r="J254" s="38">
        <f>Volumes!J517</f>
        <v>1</v>
      </c>
      <c r="K254" s="38">
        <f>Volumes!K517</f>
        <v>1</v>
      </c>
      <c r="L254" s="38">
        <f>Volumes!L517</f>
        <v>1</v>
      </c>
    </row>
    <row r="255" spans="2:12" ht="12.75" outlineLevel="1">
      <c r="B255" s="446" t="s">
        <v>397</v>
      </c>
      <c r="C255" s="446"/>
      <c r="D255" s="446"/>
      <c r="E255" s="38">
        <f>Volumes!E518</f>
        <v>1</v>
      </c>
      <c r="F255" s="38">
        <f>Volumes!F518</f>
        <v>1</v>
      </c>
      <c r="G255" s="38">
        <f>Volumes!G518</f>
        <v>1</v>
      </c>
      <c r="H255" s="38">
        <f>Volumes!H518</f>
        <v>1</v>
      </c>
      <c r="I255" s="38">
        <f>Volumes!I518</f>
        <v>1</v>
      </c>
      <c r="J255" s="38">
        <f>Volumes!J518</f>
        <v>1</v>
      </c>
      <c r="K255" s="38">
        <f>Volumes!K518</f>
        <v>1</v>
      </c>
      <c r="L255" s="38">
        <f>Volumes!L518</f>
        <v>1</v>
      </c>
    </row>
    <row r="256" spans="2:12" ht="12.75" outlineLevel="1">
      <c r="B256" s="446" t="s">
        <v>400</v>
      </c>
      <c r="C256" s="446"/>
      <c r="D256" s="446"/>
      <c r="E256" s="38">
        <f>Volumes!E519</f>
        <v>0</v>
      </c>
      <c r="F256" s="38">
        <f>Volumes!F519</f>
        <v>1</v>
      </c>
      <c r="G256" s="38">
        <f>Volumes!G519</f>
        <v>1</v>
      </c>
      <c r="H256" s="38">
        <f>Volumes!H519</f>
        <v>1</v>
      </c>
      <c r="I256" s="38">
        <f>Volumes!I519</f>
        <v>1</v>
      </c>
      <c r="J256" s="38">
        <f>Volumes!J519</f>
        <v>0</v>
      </c>
      <c r="K256" s="38">
        <f>Volumes!K519</f>
        <v>1</v>
      </c>
      <c r="L256" s="38">
        <f>Volumes!L519</f>
        <v>1</v>
      </c>
    </row>
    <row r="257" spans="2:12" s="86" customFormat="1" ht="12.75" outlineLevel="1">
      <c r="B257" s="447"/>
      <c r="C257" s="447"/>
      <c r="D257" s="447"/>
      <c r="E257" s="109"/>
      <c r="F257" s="109"/>
      <c r="G257" s="109"/>
      <c r="H257" s="109"/>
      <c r="I257" s="109"/>
      <c r="J257" s="109"/>
      <c r="K257" s="109"/>
      <c r="L257" s="109"/>
    </row>
    <row r="258" spans="2:12" ht="12.75" outlineLevel="1">
      <c r="B258" s="447" t="s">
        <v>417</v>
      </c>
      <c r="C258" s="447"/>
      <c r="D258" s="447"/>
      <c r="E258" s="38">
        <f>Volumes!E521</f>
        <v>0</v>
      </c>
      <c r="F258" s="38">
        <f>Volumes!F521</f>
        <v>1</v>
      </c>
      <c r="G258" s="38">
        <f>Volumes!G521</f>
        <v>1</v>
      </c>
      <c r="H258" s="38">
        <f>Volumes!H521</f>
        <v>0</v>
      </c>
      <c r="I258" s="38">
        <f>Volumes!I521</f>
        <v>1</v>
      </c>
      <c r="J258" s="38">
        <f>Volumes!J521</f>
        <v>1</v>
      </c>
      <c r="K258" s="38">
        <f>Volumes!K521</f>
        <v>1</v>
      </c>
      <c r="L258" s="38">
        <f>Volumes!L521</f>
        <v>1</v>
      </c>
    </row>
    <row r="259" spans="2:12" ht="12.75" outlineLevel="1">
      <c r="B259" s="447"/>
      <c r="C259" s="447"/>
      <c r="D259" s="447"/>
      <c r="E259" s="109"/>
      <c r="F259" s="109"/>
      <c r="G259" s="109"/>
      <c r="H259" s="109"/>
      <c r="I259" s="109"/>
      <c r="J259" s="109"/>
      <c r="K259" s="109"/>
      <c r="L259" s="109"/>
    </row>
    <row r="260" spans="2:12" ht="12.75" outlineLevel="1">
      <c r="B260" s="448" t="s">
        <v>254</v>
      </c>
      <c r="C260" s="448"/>
      <c r="D260" s="448"/>
      <c r="E260" s="109"/>
      <c r="F260" s="109"/>
      <c r="G260" s="109"/>
      <c r="H260" s="109"/>
      <c r="I260" s="109"/>
      <c r="J260" s="109"/>
      <c r="K260" s="109"/>
      <c r="L260" s="109"/>
    </row>
    <row r="261" spans="2:12" ht="12.75" outlineLevel="1">
      <c r="B261" s="449" t="s">
        <v>562</v>
      </c>
      <c r="C261" s="449"/>
      <c r="D261" s="447"/>
      <c r="E261" s="109"/>
      <c r="F261" s="109"/>
      <c r="G261" s="109"/>
      <c r="H261" s="109"/>
      <c r="I261" s="109"/>
      <c r="J261" s="109"/>
      <c r="K261" s="109"/>
      <c r="L261" s="109"/>
    </row>
    <row r="262" spans="2:12" ht="12.75" outlineLevel="1">
      <c r="B262" s="446" t="s">
        <v>404</v>
      </c>
      <c r="C262" s="446"/>
      <c r="D262" s="447"/>
      <c r="E262" s="38">
        <f>Volumes!E525</f>
        <v>1</v>
      </c>
      <c r="F262" s="38">
        <f>Volumes!F525</f>
        <v>1</v>
      </c>
      <c r="G262" s="38">
        <f>Volumes!G525</f>
        <v>1</v>
      </c>
      <c r="H262" s="38">
        <f>Volumes!H525</f>
        <v>1</v>
      </c>
      <c r="I262" s="38">
        <f>Volumes!I525</f>
        <v>1</v>
      </c>
      <c r="J262" s="38">
        <f>Volumes!J525</f>
        <v>1</v>
      </c>
      <c r="K262" s="38">
        <f>Volumes!K525</f>
        <v>1</v>
      </c>
      <c r="L262" s="38">
        <f>Volumes!L525</f>
        <v>1</v>
      </c>
    </row>
    <row r="263" spans="2:12" ht="12.75" outlineLevel="1">
      <c r="B263" s="446" t="s">
        <v>405</v>
      </c>
      <c r="C263" s="446"/>
      <c r="D263" s="447"/>
      <c r="E263" s="38">
        <f>Volumes!E526</f>
        <v>1</v>
      </c>
      <c r="F263" s="38">
        <f>Volumes!F526</f>
        <v>1</v>
      </c>
      <c r="G263" s="38">
        <f>Volumes!G526</f>
        <v>1</v>
      </c>
      <c r="H263" s="38">
        <f>Volumes!H526</f>
        <v>2</v>
      </c>
      <c r="I263" s="38">
        <f>Volumes!I526</f>
        <v>1</v>
      </c>
      <c r="J263" s="38">
        <f>Volumes!J526</f>
        <v>1</v>
      </c>
      <c r="K263" s="38">
        <f>Volumes!K526</f>
        <v>1</v>
      </c>
      <c r="L263" s="38">
        <f>Volumes!L526</f>
        <v>1</v>
      </c>
    </row>
    <row r="264" spans="2:12" ht="12.75" outlineLevel="1">
      <c r="B264" s="446" t="s">
        <v>406</v>
      </c>
      <c r="C264" s="446"/>
      <c r="D264" s="447"/>
      <c r="E264" s="38">
        <f>Volumes!E527</f>
        <v>4</v>
      </c>
      <c r="F264" s="38">
        <f>Volumes!F527</f>
        <v>4</v>
      </c>
      <c r="G264" s="38">
        <f>Volumes!G527</f>
        <v>2</v>
      </c>
      <c r="H264" s="38">
        <f>Volumes!H527</f>
        <v>4</v>
      </c>
      <c r="I264" s="38">
        <f>Volumes!I527</f>
        <v>2</v>
      </c>
      <c r="J264" s="38">
        <f>Volumes!J527</f>
        <v>4</v>
      </c>
      <c r="K264" s="38">
        <f>Volumes!K527</f>
        <v>3</v>
      </c>
      <c r="L264" s="38">
        <f>Volumes!L527</f>
        <v>4</v>
      </c>
    </row>
    <row r="265" spans="2:12" ht="12.75" outlineLevel="1">
      <c r="B265" s="446" t="s">
        <v>394</v>
      </c>
      <c r="C265" s="446"/>
      <c r="D265" s="447"/>
      <c r="E265" s="38">
        <f>Volumes!E528</f>
        <v>7</v>
      </c>
      <c r="F265" s="38">
        <f>Volumes!F528</f>
        <v>1</v>
      </c>
      <c r="G265" s="38">
        <f>Volumes!G528</f>
        <v>2</v>
      </c>
      <c r="H265" s="38">
        <f>Volumes!H528</f>
        <v>2</v>
      </c>
      <c r="I265" s="38">
        <f>Volumes!I528</f>
        <v>2</v>
      </c>
      <c r="J265" s="38">
        <f>Volumes!J528</f>
        <v>5</v>
      </c>
      <c r="K265" s="38">
        <f>Volumes!K528</f>
        <v>2</v>
      </c>
      <c r="L265" s="38">
        <f>Volumes!L528</f>
        <v>6</v>
      </c>
    </row>
    <row r="266" spans="2:12" ht="12.75" outlineLevel="1">
      <c r="B266" s="446" t="s">
        <v>397</v>
      </c>
      <c r="C266" s="446"/>
      <c r="D266" s="447"/>
      <c r="E266" s="38">
        <f>Volumes!E529</f>
        <v>3</v>
      </c>
      <c r="F266" s="38">
        <f>Volumes!F529</f>
        <v>2</v>
      </c>
      <c r="G266" s="38">
        <f>Volumes!G529</f>
        <v>3</v>
      </c>
      <c r="H266" s="38">
        <f>Volumes!H529</f>
        <v>2</v>
      </c>
      <c r="I266" s="38">
        <f>Volumes!I529</f>
        <v>3</v>
      </c>
      <c r="J266" s="38">
        <f>Volumes!J529</f>
        <v>3</v>
      </c>
      <c r="K266" s="38">
        <f>Volumes!K529</f>
        <v>3</v>
      </c>
      <c r="L266" s="38">
        <f>Volumes!L529</f>
        <v>4</v>
      </c>
    </row>
    <row r="267" spans="2:12" ht="12.75" outlineLevel="1">
      <c r="B267" s="446" t="s">
        <v>400</v>
      </c>
      <c r="C267" s="446"/>
      <c r="D267" s="447"/>
      <c r="E267" s="38">
        <f>Volumes!E530</f>
        <v>0</v>
      </c>
      <c r="F267" s="38">
        <f>Volumes!F530</f>
        <v>2</v>
      </c>
      <c r="G267" s="38">
        <f>Volumes!G530</f>
        <v>2</v>
      </c>
      <c r="H267" s="38">
        <f>Volumes!H530</f>
        <v>2</v>
      </c>
      <c r="I267" s="38">
        <f>Volumes!I530</f>
        <v>2</v>
      </c>
      <c r="J267" s="38">
        <f>Volumes!J530</f>
        <v>2</v>
      </c>
      <c r="K267" s="38">
        <f>Volumes!K530</f>
        <v>2</v>
      </c>
      <c r="L267" s="38">
        <f>Volumes!L530</f>
        <v>1</v>
      </c>
    </row>
    <row r="268" spans="2:12" ht="12.75" outlineLevel="1">
      <c r="B268" s="45"/>
      <c r="C268" s="45"/>
      <c r="D268" s="447"/>
      <c r="E268" s="109"/>
      <c r="F268" s="109"/>
      <c r="G268" s="109"/>
      <c r="H268" s="109"/>
      <c r="I268" s="109"/>
      <c r="J268" s="109"/>
      <c r="K268" s="109"/>
      <c r="L268" s="109"/>
    </row>
    <row r="269" spans="2:12" ht="12.75" outlineLevel="1">
      <c r="B269" s="449" t="s">
        <v>563</v>
      </c>
      <c r="C269" s="449"/>
      <c r="D269" s="447"/>
      <c r="E269" s="109"/>
      <c r="F269" s="109"/>
      <c r="G269" s="109"/>
      <c r="H269" s="109"/>
      <c r="I269" s="109"/>
      <c r="J269" s="109"/>
      <c r="K269" s="109"/>
      <c r="L269" s="109"/>
    </row>
    <row r="270" spans="2:12" ht="12.75" outlineLevel="1">
      <c r="B270" s="446" t="s">
        <v>404</v>
      </c>
      <c r="C270" s="446"/>
      <c r="D270" s="447"/>
      <c r="E270" s="38">
        <f>Volumes!E533</f>
        <v>1</v>
      </c>
      <c r="F270" s="38">
        <f>Volumes!F533</f>
        <v>1</v>
      </c>
      <c r="G270" s="38">
        <f>Volumes!G533</f>
        <v>1</v>
      </c>
      <c r="H270" s="38">
        <f>Volumes!H533</f>
        <v>1</v>
      </c>
      <c r="I270" s="38">
        <f>Volumes!I533</f>
        <v>1</v>
      </c>
      <c r="J270" s="38">
        <f>Volumes!J533</f>
        <v>1</v>
      </c>
      <c r="K270" s="38">
        <f>Volumes!K533</f>
        <v>1</v>
      </c>
      <c r="L270" s="38">
        <f>Volumes!L533</f>
        <v>1</v>
      </c>
    </row>
    <row r="271" spans="2:12" ht="12.75" outlineLevel="1">
      <c r="B271" s="446" t="s">
        <v>405</v>
      </c>
      <c r="C271" s="446"/>
      <c r="D271" s="447"/>
      <c r="E271" s="38">
        <f>Volumes!E534</f>
        <v>1</v>
      </c>
      <c r="F271" s="38">
        <f>Volumes!F534</f>
        <v>1</v>
      </c>
      <c r="G271" s="38">
        <f>Volumes!G534</f>
        <v>1</v>
      </c>
      <c r="H271" s="38">
        <f>Volumes!H534</f>
        <v>2</v>
      </c>
      <c r="I271" s="38">
        <f>Volumes!I534</f>
        <v>1</v>
      </c>
      <c r="J271" s="38">
        <f>Volumes!J534</f>
        <v>1</v>
      </c>
      <c r="K271" s="38">
        <f>Volumes!K534</f>
        <v>1</v>
      </c>
      <c r="L271" s="38">
        <f>Volumes!L534</f>
        <v>1</v>
      </c>
    </row>
    <row r="272" spans="2:12" ht="12.75" outlineLevel="1">
      <c r="B272" s="446" t="s">
        <v>406</v>
      </c>
      <c r="C272" s="446"/>
      <c r="D272" s="447"/>
      <c r="E272" s="38">
        <f>Volumes!E535</f>
        <v>4</v>
      </c>
      <c r="F272" s="38">
        <f>Volumes!F535</f>
        <v>4</v>
      </c>
      <c r="G272" s="38">
        <f>Volumes!G535</f>
        <v>2</v>
      </c>
      <c r="H272" s="38">
        <f>Volumes!H535</f>
        <v>4</v>
      </c>
      <c r="I272" s="38">
        <f>Volumes!I535</f>
        <v>2</v>
      </c>
      <c r="J272" s="38">
        <f>Volumes!J535</f>
        <v>4</v>
      </c>
      <c r="K272" s="38">
        <f>Volumes!K535</f>
        <v>3</v>
      </c>
      <c r="L272" s="38">
        <f>Volumes!L535</f>
        <v>4</v>
      </c>
    </row>
    <row r="273" spans="2:12" ht="12.75" outlineLevel="1">
      <c r="B273" s="446" t="s">
        <v>394</v>
      </c>
      <c r="C273" s="446"/>
      <c r="D273" s="447"/>
      <c r="E273" s="38">
        <f>Volumes!E536</f>
        <v>7</v>
      </c>
      <c r="F273" s="38">
        <f>Volumes!F536</f>
        <v>1</v>
      </c>
      <c r="G273" s="38">
        <f>Volumes!G536</f>
        <v>2</v>
      </c>
      <c r="H273" s="38">
        <f>Volumes!H536</f>
        <v>2</v>
      </c>
      <c r="I273" s="38">
        <f>Volumes!I536</f>
        <v>2</v>
      </c>
      <c r="J273" s="38">
        <f>Volumes!J536</f>
        <v>5</v>
      </c>
      <c r="K273" s="38">
        <f>Volumes!K536</f>
        <v>2</v>
      </c>
      <c r="L273" s="38">
        <f>Volumes!L536</f>
        <v>6</v>
      </c>
    </row>
    <row r="274" spans="2:12" ht="12.75" outlineLevel="1">
      <c r="B274" s="446" t="s">
        <v>397</v>
      </c>
      <c r="C274" s="446"/>
      <c r="D274" s="447"/>
      <c r="E274" s="38">
        <f>Volumes!E537</f>
        <v>3</v>
      </c>
      <c r="F274" s="38">
        <f>Volumes!F537</f>
        <v>2</v>
      </c>
      <c r="G274" s="38">
        <f>Volumes!G537</f>
        <v>3</v>
      </c>
      <c r="H274" s="38">
        <f>Volumes!H537</f>
        <v>2</v>
      </c>
      <c r="I274" s="38">
        <f>Volumes!I537</f>
        <v>3</v>
      </c>
      <c r="J274" s="38">
        <f>Volumes!J537</f>
        <v>3</v>
      </c>
      <c r="K274" s="38">
        <f>Volumes!K537</f>
        <v>3</v>
      </c>
      <c r="L274" s="38">
        <f>Volumes!L537</f>
        <v>4</v>
      </c>
    </row>
    <row r="275" spans="2:12" ht="12.75" outlineLevel="1">
      <c r="B275" s="446" t="s">
        <v>400</v>
      </c>
      <c r="C275" s="446"/>
      <c r="D275" s="447"/>
      <c r="E275" s="38">
        <f>Volumes!E538</f>
        <v>0</v>
      </c>
      <c r="F275" s="38">
        <f>Volumes!F538</f>
        <v>2</v>
      </c>
      <c r="G275" s="38">
        <f>Volumes!G538</f>
        <v>2</v>
      </c>
      <c r="H275" s="38">
        <f>Volumes!H538</f>
        <v>2</v>
      </c>
      <c r="I275" s="38">
        <f>Volumes!I538</f>
        <v>2</v>
      </c>
      <c r="J275" s="38">
        <f>Volumes!J538</f>
        <v>2</v>
      </c>
      <c r="K275" s="38">
        <f>Volumes!K538</f>
        <v>2</v>
      </c>
      <c r="L275" s="38">
        <f>Volumes!L538</f>
        <v>1</v>
      </c>
    </row>
    <row r="276" spans="2:12" ht="12.75" outlineLevel="1">
      <c r="B276" s="447"/>
      <c r="C276" s="447"/>
      <c r="D276" s="447"/>
      <c r="E276" s="109"/>
      <c r="F276" s="109"/>
      <c r="G276" s="109"/>
      <c r="H276" s="109"/>
      <c r="I276" s="109"/>
      <c r="J276" s="109"/>
      <c r="K276" s="109"/>
      <c r="L276" s="109"/>
    </row>
    <row r="277" spans="2:12" ht="12.75" outlineLevel="1">
      <c r="B277" s="448" t="s">
        <v>256</v>
      </c>
      <c r="C277" s="448"/>
      <c r="D277" s="448"/>
      <c r="E277" s="109"/>
      <c r="F277" s="109"/>
      <c r="G277" s="109"/>
      <c r="H277" s="109"/>
      <c r="I277" s="109"/>
      <c r="J277" s="109"/>
      <c r="K277" s="109"/>
      <c r="L277" s="109"/>
    </row>
    <row r="278" spans="2:12" ht="12.75" outlineLevel="1">
      <c r="B278" s="447"/>
      <c r="C278" s="447"/>
      <c r="D278" s="447"/>
      <c r="E278" s="109"/>
      <c r="F278" s="109"/>
      <c r="G278" s="109"/>
      <c r="H278" s="109"/>
      <c r="I278" s="109"/>
      <c r="J278" s="109"/>
      <c r="K278" s="109"/>
      <c r="L278" s="109"/>
    </row>
    <row r="279" spans="2:12" ht="12.75" outlineLevel="1">
      <c r="B279" s="475" t="s">
        <v>237</v>
      </c>
      <c r="C279" s="475"/>
      <c r="D279" s="475"/>
      <c r="E279" s="109"/>
      <c r="F279" s="109"/>
      <c r="G279" s="109"/>
      <c r="H279" s="109"/>
      <c r="I279" s="109"/>
      <c r="J279" s="109"/>
      <c r="K279" s="109"/>
      <c r="L279" s="109"/>
    </row>
    <row r="280" spans="2:12" ht="12.75" outlineLevel="1">
      <c r="B280" s="470" t="s">
        <v>231</v>
      </c>
      <c r="E280" s="38">
        <f>Volumes!E543</f>
        <v>0</v>
      </c>
      <c r="F280" s="38">
        <f>Volumes!F543</f>
        <v>1</v>
      </c>
      <c r="G280" s="38">
        <f>Volumes!G543</f>
        <v>0</v>
      </c>
      <c r="H280" s="38">
        <f>Volumes!H543</f>
        <v>1</v>
      </c>
      <c r="I280" s="38">
        <f>Volumes!I543</f>
        <v>1</v>
      </c>
      <c r="J280" s="38">
        <f>Volumes!J543</f>
        <v>0</v>
      </c>
      <c r="K280" s="38">
        <f>Volumes!K543</f>
        <v>1</v>
      </c>
      <c r="L280" s="38">
        <f>Volumes!L543</f>
        <v>0</v>
      </c>
    </row>
    <row r="281" spans="5:12" ht="12.75" outlineLevel="1">
      <c r="E281" s="109"/>
      <c r="F281" s="109"/>
      <c r="G281" s="109"/>
      <c r="H281" s="109"/>
      <c r="I281" s="109"/>
      <c r="J281" s="109"/>
      <c r="K281" s="109"/>
      <c r="L281" s="109"/>
    </row>
    <row r="282" spans="2:12" ht="12.75" outlineLevel="1">
      <c r="B282" s="475" t="s">
        <v>239</v>
      </c>
      <c r="C282" s="475"/>
      <c r="D282" s="475"/>
      <c r="E282" s="109"/>
      <c r="F282" s="109"/>
      <c r="G282" s="109"/>
      <c r="H282" s="109"/>
      <c r="I282" s="109"/>
      <c r="J282" s="109"/>
      <c r="K282" s="109"/>
      <c r="L282" s="109"/>
    </row>
    <row r="283" spans="2:12" ht="12.75" outlineLevel="1">
      <c r="B283" s="470" t="s">
        <v>231</v>
      </c>
      <c r="E283" s="38">
        <f>Volumes!E546</f>
        <v>0</v>
      </c>
      <c r="F283" s="38">
        <f>Volumes!F546</f>
        <v>1</v>
      </c>
      <c r="G283" s="38">
        <f>Volumes!G546</f>
        <v>0</v>
      </c>
      <c r="H283" s="38">
        <f>Volumes!H546</f>
        <v>1</v>
      </c>
      <c r="I283" s="38">
        <f>Volumes!I546</f>
        <v>1</v>
      </c>
      <c r="J283" s="38">
        <f>Volumes!J546</f>
        <v>0</v>
      </c>
      <c r="K283" s="38">
        <f>Volumes!K546</f>
        <v>1</v>
      </c>
      <c r="L283" s="38">
        <f>Volumes!L546</f>
        <v>0</v>
      </c>
    </row>
    <row r="284" spans="5:12" ht="12.75" outlineLevel="1">
      <c r="E284" s="109"/>
      <c r="F284" s="109"/>
      <c r="G284" s="109"/>
      <c r="H284" s="109"/>
      <c r="I284" s="109"/>
      <c r="J284" s="109"/>
      <c r="K284" s="109"/>
      <c r="L284" s="109"/>
    </row>
    <row r="285" spans="2:12" ht="12.75" outlineLevel="1">
      <c r="B285" s="475" t="s">
        <v>241</v>
      </c>
      <c r="C285" s="475"/>
      <c r="D285" s="475"/>
      <c r="E285" s="109"/>
      <c r="F285" s="109"/>
      <c r="G285" s="109"/>
      <c r="H285" s="109"/>
      <c r="I285" s="109"/>
      <c r="J285" s="109"/>
      <c r="K285" s="109"/>
      <c r="L285" s="109"/>
    </row>
    <row r="286" spans="2:12" ht="12.75" outlineLevel="1">
      <c r="B286" s="470" t="s">
        <v>231</v>
      </c>
      <c r="E286" s="38">
        <f>Volumes!E549</f>
        <v>0</v>
      </c>
      <c r="F286" s="38">
        <f>Volumes!F549</f>
        <v>0</v>
      </c>
      <c r="G286" s="38">
        <f>Volumes!G549</f>
        <v>0</v>
      </c>
      <c r="H286" s="38">
        <f>Volumes!H549</f>
        <v>0</v>
      </c>
      <c r="I286" s="38">
        <f>Volumes!I549</f>
        <v>0</v>
      </c>
      <c r="J286" s="38">
        <f>Volumes!J549</f>
        <v>0</v>
      </c>
      <c r="K286" s="38">
        <f>Volumes!K549</f>
        <v>0</v>
      </c>
      <c r="L286" s="38">
        <f>Volumes!L549</f>
        <v>0</v>
      </c>
    </row>
    <row r="287" spans="5:12" ht="12.75" outlineLevel="1">
      <c r="E287" s="109"/>
      <c r="F287" s="109"/>
      <c r="G287" s="109"/>
      <c r="H287" s="109"/>
      <c r="I287" s="109"/>
      <c r="J287" s="109"/>
      <c r="K287" s="109"/>
      <c r="L287" s="109"/>
    </row>
    <row r="288" spans="2:12" ht="12.75" outlineLevel="1">
      <c r="B288" s="475" t="s">
        <v>243</v>
      </c>
      <c r="C288" s="475"/>
      <c r="D288" s="475"/>
      <c r="E288" s="109"/>
      <c r="F288" s="109"/>
      <c r="G288" s="109"/>
      <c r="H288" s="109"/>
      <c r="I288" s="109"/>
      <c r="J288" s="109"/>
      <c r="K288" s="109"/>
      <c r="L288" s="109"/>
    </row>
    <row r="289" spans="2:12" ht="12.75" outlineLevel="1">
      <c r="B289" s="470" t="s">
        <v>231</v>
      </c>
      <c r="E289" s="38">
        <f>Volumes!E552</f>
        <v>0</v>
      </c>
      <c r="F289" s="38">
        <f>Volumes!F552</f>
        <v>1</v>
      </c>
      <c r="G289" s="38">
        <f>Volumes!G552</f>
        <v>1</v>
      </c>
      <c r="H289" s="38">
        <f>Volumes!H552</f>
        <v>1</v>
      </c>
      <c r="I289" s="38">
        <f>Volumes!I552</f>
        <v>1</v>
      </c>
      <c r="J289" s="38">
        <f>Volumes!J552</f>
        <v>0</v>
      </c>
      <c r="K289" s="38">
        <f>Volumes!K552</f>
        <v>1</v>
      </c>
      <c r="L289" s="38">
        <f>Volumes!L552</f>
        <v>1</v>
      </c>
    </row>
    <row r="290" spans="5:12" ht="12.75" outlineLevel="1">
      <c r="E290" s="109"/>
      <c r="F290" s="109"/>
      <c r="G290" s="109"/>
      <c r="H290" s="109"/>
      <c r="I290" s="109"/>
      <c r="J290" s="109"/>
      <c r="K290" s="109"/>
      <c r="L290" s="109"/>
    </row>
    <row r="291" spans="2:12" ht="12.75" outlineLevel="1">
      <c r="B291" s="475" t="s">
        <v>244</v>
      </c>
      <c r="C291" s="475"/>
      <c r="D291" s="475"/>
      <c r="E291" s="109"/>
      <c r="F291" s="109"/>
      <c r="G291" s="109"/>
      <c r="H291" s="109"/>
      <c r="I291" s="109"/>
      <c r="J291" s="109"/>
      <c r="K291" s="109"/>
      <c r="L291" s="109"/>
    </row>
    <row r="292" spans="2:12" ht="12.75" outlineLevel="1">
      <c r="B292" s="470" t="s">
        <v>231</v>
      </c>
      <c r="E292" s="38">
        <f>Volumes!E555</f>
        <v>1</v>
      </c>
      <c r="F292" s="38">
        <f>Volumes!F555</f>
        <v>1</v>
      </c>
      <c r="G292" s="38">
        <f>Volumes!G555</f>
        <v>0</v>
      </c>
      <c r="H292" s="38">
        <f>Volumes!H555</f>
        <v>1</v>
      </c>
      <c r="I292" s="38">
        <f>Volumes!I555</f>
        <v>1</v>
      </c>
      <c r="J292" s="38">
        <f>Volumes!J555</f>
        <v>1</v>
      </c>
      <c r="K292" s="38">
        <f>Volumes!K555</f>
        <v>1</v>
      </c>
      <c r="L292" s="38">
        <f>Volumes!L555</f>
        <v>1</v>
      </c>
    </row>
    <row r="293" spans="5:12" ht="12.75" outlineLevel="1">
      <c r="E293" s="476"/>
      <c r="F293" s="476"/>
      <c r="G293" s="476"/>
      <c r="H293" s="476"/>
      <c r="I293" s="476"/>
      <c r="J293" s="476"/>
      <c r="K293" s="476"/>
      <c r="L293" s="476"/>
    </row>
    <row r="294" ht="12.75" outlineLevel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0"/>
  <dimension ref="B2:X663"/>
  <sheetViews>
    <sheetView showGridLines="0" zoomScale="85" zoomScaleNormal="85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5" sqref="D5"/>
    </sheetView>
  </sheetViews>
  <sheetFormatPr defaultColWidth="9.140625" defaultRowHeight="12.75" outlineLevelRow="1"/>
  <cols>
    <col min="1" max="1" width="2.7109375" style="43" customWidth="1"/>
    <col min="2" max="2" width="52.8515625" style="43" customWidth="1"/>
    <col min="3" max="3" width="9.28125" style="43" customWidth="1"/>
    <col min="4" max="4" width="12.57421875" style="43" customWidth="1"/>
    <col min="5" max="13" width="12.421875" style="43" customWidth="1"/>
    <col min="14" max="14" width="4.140625" style="43" customWidth="1"/>
    <col min="15" max="16" width="11.7109375" style="418" customWidth="1"/>
    <col min="17" max="17" width="4.140625" style="43" customWidth="1"/>
    <col min="18" max="19" width="13.28125" style="418" customWidth="1"/>
    <col min="20" max="20" width="4.140625" style="43" customWidth="1"/>
    <col min="21" max="24" width="13.57421875" style="418" customWidth="1"/>
    <col min="25" max="16384" width="9.140625" style="43" customWidth="1"/>
  </cols>
  <sheetData>
    <row r="2" spans="2:24" s="41" customFormat="1" ht="156.75">
      <c r="B2" s="39" t="s">
        <v>188</v>
      </c>
      <c r="C2" s="39"/>
      <c r="D2" s="39"/>
      <c r="E2" s="4" t="s">
        <v>146</v>
      </c>
      <c r="F2" s="4" t="s">
        <v>29</v>
      </c>
      <c r="G2" s="4" t="s">
        <v>455</v>
      </c>
      <c r="H2" s="4" t="s">
        <v>148</v>
      </c>
      <c r="I2" s="4" t="s">
        <v>150</v>
      </c>
      <c r="J2" s="4" t="s">
        <v>151</v>
      </c>
      <c r="K2" s="4" t="s">
        <v>147</v>
      </c>
      <c r="L2" s="4" t="s">
        <v>30</v>
      </c>
      <c r="M2" s="40" t="s">
        <v>153</v>
      </c>
      <c r="N2" s="40"/>
      <c r="O2" s="408" t="s">
        <v>564</v>
      </c>
      <c r="P2" s="408" t="s">
        <v>565</v>
      </c>
      <c r="Q2" s="40"/>
      <c r="R2" s="408" t="s">
        <v>566</v>
      </c>
      <c r="S2" s="408" t="s">
        <v>227</v>
      </c>
      <c r="T2" s="40"/>
      <c r="U2" s="408" t="s">
        <v>568</v>
      </c>
      <c r="V2" s="408" t="s">
        <v>567</v>
      </c>
      <c r="W2" s="408" t="s">
        <v>228</v>
      </c>
      <c r="X2" s="408" t="s">
        <v>195</v>
      </c>
    </row>
    <row r="3" spans="2:24" s="100" customFormat="1" ht="20.25">
      <c r="B3" s="97"/>
      <c r="C3" s="97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409"/>
      <c r="P3" s="409"/>
      <c r="Q3" s="98"/>
      <c r="R3" s="409"/>
      <c r="S3" s="409"/>
      <c r="T3" s="98"/>
      <c r="U3" s="409"/>
      <c r="V3" s="409"/>
      <c r="W3" s="409"/>
      <c r="X3" s="409"/>
    </row>
    <row r="4" spans="2:24" s="42" customFormat="1" ht="12.75">
      <c r="B4" s="83" t="s">
        <v>277</v>
      </c>
      <c r="C4" s="83"/>
      <c r="D4" s="83"/>
      <c r="O4" s="410"/>
      <c r="P4" s="410"/>
      <c r="R4" s="410"/>
      <c r="S4" s="410"/>
      <c r="U4" s="410"/>
      <c r="V4" s="410"/>
      <c r="W4" s="410"/>
      <c r="X4" s="410"/>
    </row>
    <row r="5" spans="5:24" s="45" customFormat="1" ht="12.75">
      <c r="E5" s="48"/>
      <c r="F5" s="48"/>
      <c r="G5" s="48"/>
      <c r="H5" s="48"/>
      <c r="I5" s="48"/>
      <c r="J5" s="48"/>
      <c r="K5" s="48"/>
      <c r="L5" s="48"/>
      <c r="M5" s="48"/>
      <c r="N5" s="48"/>
      <c r="O5" s="412"/>
      <c r="P5" s="412"/>
      <c r="Q5" s="48"/>
      <c r="R5" s="412"/>
      <c r="S5" s="412"/>
      <c r="T5" s="48"/>
      <c r="U5" s="412"/>
      <c r="V5" s="412"/>
      <c r="W5" s="412"/>
      <c r="X5" s="412"/>
    </row>
    <row r="6" spans="5:24" s="45" customFormat="1" ht="12.75">
      <c r="E6" s="482"/>
      <c r="F6" s="482"/>
      <c r="G6" s="482"/>
      <c r="H6" s="482"/>
      <c r="I6" s="482"/>
      <c r="J6" s="482"/>
      <c r="K6" s="482"/>
      <c r="L6" s="482"/>
      <c r="M6" s="48"/>
      <c r="N6" s="48"/>
      <c r="O6" s="412"/>
      <c r="P6" s="412"/>
      <c r="Q6" s="48"/>
      <c r="R6" s="412"/>
      <c r="S6" s="412"/>
      <c r="T6" s="48"/>
      <c r="U6" s="412"/>
      <c r="V6" s="412"/>
      <c r="W6" s="412"/>
      <c r="X6" s="412"/>
    </row>
    <row r="7" spans="2:24" s="45" customFormat="1" ht="12.75">
      <c r="B7" s="480" t="s">
        <v>267</v>
      </c>
      <c r="C7" s="480"/>
      <c r="D7" s="480"/>
      <c r="E7" s="564">
        <v>1</v>
      </c>
      <c r="F7" s="564">
        <v>1</v>
      </c>
      <c r="G7" s="564">
        <v>1</v>
      </c>
      <c r="H7" s="564">
        <v>1</v>
      </c>
      <c r="I7" s="564">
        <v>1</v>
      </c>
      <c r="J7" s="564">
        <v>1</v>
      </c>
      <c r="K7" s="564">
        <v>1</v>
      </c>
      <c r="L7" s="564">
        <v>1</v>
      </c>
      <c r="M7" s="483"/>
      <c r="N7" s="483"/>
      <c r="O7" s="484"/>
      <c r="P7" s="484"/>
      <c r="Q7" s="483"/>
      <c r="R7" s="484"/>
      <c r="S7" s="484"/>
      <c r="T7" s="483"/>
      <c r="U7" s="484"/>
      <c r="V7" s="484"/>
      <c r="W7" s="484"/>
      <c r="X7" s="484"/>
    </row>
    <row r="8" spans="2:24" s="45" customFormat="1" ht="12.75">
      <c r="B8" s="480" t="s">
        <v>8</v>
      </c>
      <c r="C8" s="480"/>
      <c r="D8" s="480"/>
      <c r="E8" s="564">
        <v>1</v>
      </c>
      <c r="F8" s="564">
        <v>1</v>
      </c>
      <c r="G8" s="564">
        <v>1</v>
      </c>
      <c r="H8" s="564">
        <v>1</v>
      </c>
      <c r="I8" s="564">
        <v>1</v>
      </c>
      <c r="J8" s="564">
        <v>1</v>
      </c>
      <c r="K8" s="564">
        <v>1</v>
      </c>
      <c r="L8" s="564">
        <v>1</v>
      </c>
      <c r="M8" s="483"/>
      <c r="N8" s="483"/>
      <c r="O8" s="484"/>
      <c r="P8" s="484"/>
      <c r="Q8" s="483"/>
      <c r="R8" s="484"/>
      <c r="S8" s="484"/>
      <c r="T8" s="483"/>
      <c r="U8" s="484"/>
      <c r="V8" s="484"/>
      <c r="W8" s="484"/>
      <c r="X8" s="484"/>
    </row>
    <row r="9" spans="2:24" s="45" customFormat="1" ht="12.75">
      <c r="B9" s="480" t="s">
        <v>269</v>
      </c>
      <c r="C9" s="480"/>
      <c r="D9" s="480"/>
      <c r="E9" s="563">
        <f>'Omzetting capaciteitstarief'!D16</f>
        <v>0.5337579617834395</v>
      </c>
      <c r="F9" s="563">
        <f>'Omzetting capaciteitstarief'!E16</f>
        <v>0.4940157424377891</v>
      </c>
      <c r="G9" s="563">
        <f>'Omzetting capaciteitstarief'!F16</f>
        <v>0.3881206630256884</v>
      </c>
      <c r="H9" s="563">
        <f>'Omzetting capaciteitstarief'!G16</f>
        <v>0.5052288481228364</v>
      </c>
      <c r="I9" s="563">
        <f>'Omzetting capaciteitstarief'!H16</f>
        <v>0.47404816068237055</v>
      </c>
      <c r="J9" s="563">
        <f>'Omzetting capaciteitstarief'!I16</f>
        <v>0.4630705394190871</v>
      </c>
      <c r="K9" s="563">
        <f>'Omzetting capaciteitstarief'!J16</f>
        <v>0.5301861528990248</v>
      </c>
      <c r="L9" s="563">
        <f>'Omzetting capaciteitstarief'!K16</f>
        <v>0.40305401178195494</v>
      </c>
      <c r="M9" s="102"/>
      <c r="N9" s="102"/>
      <c r="O9" s="411"/>
      <c r="P9" s="411"/>
      <c r="Q9" s="102"/>
      <c r="R9" s="411"/>
      <c r="S9" s="411"/>
      <c r="T9" s="102"/>
      <c r="U9" s="411"/>
      <c r="V9" s="411"/>
      <c r="W9" s="411"/>
      <c r="X9" s="411"/>
    </row>
    <row r="10" spans="2:24" s="45" customFormat="1" ht="12.75">
      <c r="B10" s="480" t="s">
        <v>270</v>
      </c>
      <c r="C10" s="480"/>
      <c r="D10" s="480"/>
      <c r="E10" s="563">
        <f>'Omzetting capaciteitstarief'!D17</f>
        <v>0.17070063694267515</v>
      </c>
      <c r="F10" s="563">
        <f>'Omzetting capaciteitstarief'!E17</f>
        <v>0.22170500314412087</v>
      </c>
      <c r="G10" s="563">
        <f>'Omzetting capaciteitstarief'!F17</f>
        <v>0.20270229344955215</v>
      </c>
      <c r="H10" s="563">
        <f>'Omzetting capaciteitstarief'!G17</f>
        <v>0.1978598903350068</v>
      </c>
      <c r="I10" s="563">
        <f>'Omzetting capaciteitstarief'!H17</f>
        <v>0.19375017798167657</v>
      </c>
      <c r="J10" s="563">
        <f>'Omzetting capaciteitstarief'!I17</f>
        <v>0.23494698017519594</v>
      </c>
      <c r="K10" s="563">
        <f>'Omzetting capaciteitstarief'!J17</f>
        <v>0.16986673053399406</v>
      </c>
      <c r="L10" s="563">
        <f>'Omzetting capaciteitstarief'!K17</f>
        <v>0.23700093569866074</v>
      </c>
      <c r="M10" s="102"/>
      <c r="N10" s="102"/>
      <c r="O10" s="411"/>
      <c r="P10" s="411"/>
      <c r="Q10" s="102"/>
      <c r="R10" s="411"/>
      <c r="S10" s="411"/>
      <c r="T10" s="102"/>
      <c r="U10" s="411"/>
      <c r="V10" s="411"/>
      <c r="W10" s="411"/>
      <c r="X10" s="411"/>
    </row>
    <row r="11" spans="2:24" s="45" customFormat="1" ht="12.75">
      <c r="B11" s="480" t="s">
        <v>271</v>
      </c>
      <c r="C11" s="480"/>
      <c r="D11" s="480"/>
      <c r="E11" s="563">
        <f>'Omzetting capaciteitstarief'!D18</f>
        <v>0.15286624203821655</v>
      </c>
      <c r="F11" s="563">
        <f>'Omzetting capaciteitstarief'!E18</f>
        <v>0.1565205178191652</v>
      </c>
      <c r="G11" s="563">
        <f>'Omzetting capaciteitstarief'!F18</f>
        <v>0.37390723565700373</v>
      </c>
      <c r="H11" s="563">
        <f>'Omzetting capaciteitstarief'!G18</f>
        <v>0.18040139866278246</v>
      </c>
      <c r="I11" s="563">
        <f>'Omzetting capaciteitstarief'!H18</f>
        <v>0.1917724733695495</v>
      </c>
      <c r="J11" s="563">
        <f>'Omzetting capaciteitstarief'!I18</f>
        <v>0.18321807284462885</v>
      </c>
      <c r="K11" s="563">
        <f>'Omzetting capaciteitstarief'!J18</f>
        <v>0.19984151044086138</v>
      </c>
      <c r="L11" s="563">
        <f>'Omzetting capaciteitstarief'!K18</f>
        <v>0.1994680038287087</v>
      </c>
      <c r="M11" s="102"/>
      <c r="N11" s="102"/>
      <c r="O11" s="411"/>
      <c r="P11" s="411"/>
      <c r="Q11" s="102"/>
      <c r="R11" s="411"/>
      <c r="S11" s="411"/>
      <c r="T11" s="102"/>
      <c r="U11" s="411"/>
      <c r="V11" s="411"/>
      <c r="W11" s="411"/>
      <c r="X11" s="411"/>
    </row>
    <row r="12" spans="2:24" s="45" customFormat="1" ht="12.75">
      <c r="B12" s="480" t="s">
        <v>272</v>
      </c>
      <c r="C12" s="480"/>
      <c r="D12" s="480"/>
      <c r="E12" s="563">
        <f>'Omzetting capaciteitstarief'!D19</f>
        <v>0.14267515923566879</v>
      </c>
      <c r="F12" s="563">
        <f>'Omzetting capaciteitstarief'!E19</f>
        <v>0.12774787420170886</v>
      </c>
      <c r="G12" s="563">
        <f>'Omzetting capaciteitstarief'!F19</f>
        <v>0.03526980786775514</v>
      </c>
      <c r="H12" s="563">
        <f>'Omzetting capaciteitstarief'!G19</f>
        <v>0.11651055582292726</v>
      </c>
      <c r="I12" s="563">
        <f>'Omzetting capaciteitstarief'!H19</f>
        <v>0.1404291879664033</v>
      </c>
      <c r="J12" s="563">
        <f>'Omzetting capaciteitstarief'!I19</f>
        <v>0.11876440756108807</v>
      </c>
      <c r="K12" s="563">
        <f>'Omzetting capaciteitstarief'!J19</f>
        <v>0.10010882092447956</v>
      </c>
      <c r="L12" s="563">
        <f>'Omzetting capaciteitstarief'!K19</f>
        <v>0.16047704869067578</v>
      </c>
      <c r="M12" s="102"/>
      <c r="N12" s="102"/>
      <c r="O12" s="411"/>
      <c r="P12" s="411"/>
      <c r="Q12" s="102"/>
      <c r="R12" s="411"/>
      <c r="S12" s="411"/>
      <c r="T12" s="102"/>
      <c r="U12" s="411"/>
      <c r="V12" s="411"/>
      <c r="W12" s="411"/>
      <c r="X12" s="411"/>
    </row>
    <row r="13" spans="2:24" s="45" customFormat="1" ht="12.75">
      <c r="B13" s="447"/>
      <c r="C13" s="447"/>
      <c r="D13" s="447"/>
      <c r="E13" s="101"/>
      <c r="F13" s="101"/>
      <c r="G13" s="50"/>
      <c r="H13" s="50"/>
      <c r="I13" s="101"/>
      <c r="J13" s="101"/>
      <c r="K13" s="50"/>
      <c r="L13" s="50"/>
      <c r="M13" s="48"/>
      <c r="N13" s="48"/>
      <c r="O13" s="412"/>
      <c r="P13" s="412"/>
      <c r="Q13" s="48"/>
      <c r="R13" s="412"/>
      <c r="S13" s="412"/>
      <c r="T13" s="48"/>
      <c r="U13" s="412"/>
      <c r="V13" s="412"/>
      <c r="W13" s="412"/>
      <c r="X13" s="412"/>
    </row>
    <row r="14" spans="2:24" s="45" customFormat="1" ht="12.75">
      <c r="B14" s="447"/>
      <c r="C14" s="447"/>
      <c r="D14" s="447"/>
      <c r="E14" s="101"/>
      <c r="F14" s="101"/>
      <c r="G14" s="50"/>
      <c r="H14" s="50"/>
      <c r="I14" s="101"/>
      <c r="J14" s="101"/>
      <c r="K14" s="50"/>
      <c r="L14" s="50"/>
      <c r="M14" s="48"/>
      <c r="N14" s="48"/>
      <c r="O14" s="412"/>
      <c r="P14" s="412"/>
      <c r="Q14" s="48"/>
      <c r="R14" s="412"/>
      <c r="S14" s="412"/>
      <c r="T14" s="48"/>
      <c r="U14" s="412"/>
      <c r="V14" s="412"/>
      <c r="W14" s="412"/>
      <c r="X14" s="412"/>
    </row>
    <row r="15" spans="2:24" s="42" customFormat="1" ht="12.75">
      <c r="B15" s="83">
        <v>2006</v>
      </c>
      <c r="C15" s="83"/>
      <c r="D15" s="83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6"/>
      <c r="P15" s="486"/>
      <c r="Q15" s="485"/>
      <c r="R15" s="486"/>
      <c r="S15" s="486"/>
      <c r="T15" s="485"/>
      <c r="U15" s="486"/>
      <c r="V15" s="486"/>
      <c r="W15" s="486"/>
      <c r="X15" s="486"/>
    </row>
    <row r="16" spans="5:24" ht="12.75"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487"/>
      <c r="P16" s="487"/>
      <c r="Q16" s="70"/>
      <c r="R16" s="487"/>
      <c r="S16" s="487"/>
      <c r="T16" s="70"/>
      <c r="U16" s="487"/>
      <c r="V16" s="487"/>
      <c r="W16" s="487"/>
      <c r="X16" s="487"/>
    </row>
    <row r="17" spans="2:24" s="45" customFormat="1" ht="12.75" outlineLevel="1">
      <c r="B17" s="448" t="s">
        <v>229</v>
      </c>
      <c r="C17" s="447"/>
      <c r="D17" s="447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487"/>
      <c r="P17" s="487"/>
      <c r="Q17" s="70"/>
      <c r="R17" s="487"/>
      <c r="S17" s="487"/>
      <c r="T17" s="70"/>
      <c r="U17" s="487"/>
      <c r="V17" s="487"/>
      <c r="W17" s="487"/>
      <c r="X17" s="487"/>
    </row>
    <row r="18" spans="2:24" ht="12.75" outlineLevel="1">
      <c r="B18" s="447" t="s">
        <v>230</v>
      </c>
      <c r="C18" s="447"/>
      <c r="D18" s="447"/>
      <c r="E18" s="46"/>
      <c r="F18" s="46">
        <v>10</v>
      </c>
      <c r="G18" s="47"/>
      <c r="H18" s="404">
        <f aca="true" t="shared" si="0" ref="H18:H23">O18+P18</f>
        <v>39.93412252964427</v>
      </c>
      <c r="I18" s="404">
        <f aca="true" t="shared" si="1" ref="I18:I23">R18+S18</f>
        <v>16.320472603800333</v>
      </c>
      <c r="J18" s="46"/>
      <c r="K18" s="404">
        <f aca="true" t="shared" si="2" ref="K18:K23">SUM(U18:X18)</f>
        <v>2.002536231884058</v>
      </c>
      <c r="L18" s="47"/>
      <c r="M18" s="404">
        <f aca="true" t="shared" si="3" ref="M18:M23">SUM(E18:L18)</f>
        <v>68.25713136532866</v>
      </c>
      <c r="N18" s="48"/>
      <c r="O18" s="413">
        <v>39.93412252964427</v>
      </c>
      <c r="P18" s="413"/>
      <c r="Q18" s="48"/>
      <c r="R18" s="413">
        <v>16.320472603800333</v>
      </c>
      <c r="S18" s="413"/>
      <c r="T18" s="48"/>
      <c r="U18" s="425"/>
      <c r="V18" s="420">
        <v>2.002536231884058</v>
      </c>
      <c r="W18" s="420"/>
      <c r="X18" s="420"/>
    </row>
    <row r="19" spans="2:24" ht="12.75" outlineLevel="1">
      <c r="B19" s="472"/>
      <c r="C19" s="472"/>
      <c r="D19" s="472"/>
      <c r="E19" s="101"/>
      <c r="F19" s="101"/>
      <c r="G19" s="50"/>
      <c r="H19" s="48"/>
      <c r="I19" s="48"/>
      <c r="J19" s="101"/>
      <c r="K19" s="48"/>
      <c r="L19" s="50"/>
      <c r="M19" s="48"/>
      <c r="N19" s="48"/>
      <c r="O19" s="414"/>
      <c r="P19" s="414"/>
      <c r="Q19" s="48"/>
      <c r="R19" s="414"/>
      <c r="S19" s="414"/>
      <c r="T19" s="48"/>
      <c r="U19" s="425"/>
      <c r="V19" s="425"/>
      <c r="W19" s="425"/>
      <c r="X19" s="425"/>
    </row>
    <row r="20" spans="2:24" ht="12.75" outlineLevel="1">
      <c r="B20" s="447" t="s">
        <v>231</v>
      </c>
      <c r="C20" s="447"/>
      <c r="D20" s="447"/>
      <c r="E20" s="46"/>
      <c r="F20" s="46">
        <v>680628</v>
      </c>
      <c r="G20" s="47"/>
      <c r="H20" s="404">
        <f t="shared" si="0"/>
        <v>912273.6367806505</v>
      </c>
      <c r="I20" s="404">
        <f t="shared" si="1"/>
        <v>582002.7219060041</v>
      </c>
      <c r="J20" s="46"/>
      <c r="K20" s="404">
        <f t="shared" si="2"/>
        <v>303016.7635658915</v>
      </c>
      <c r="L20" s="47"/>
      <c r="M20" s="404">
        <f t="shared" si="3"/>
        <v>2477921.122252546</v>
      </c>
      <c r="N20" s="48"/>
      <c r="O20" s="413">
        <v>912273.6367806505</v>
      </c>
      <c r="P20" s="413"/>
      <c r="Q20" s="48"/>
      <c r="R20" s="413">
        <v>582002.7219060041</v>
      </c>
      <c r="S20" s="413"/>
      <c r="T20" s="48"/>
      <c r="U20" s="425"/>
      <c r="V20" s="420">
        <v>303016.7635658915</v>
      </c>
      <c r="W20" s="420"/>
      <c r="X20" s="420"/>
    </row>
    <row r="21" spans="2:24" ht="12.75" outlineLevel="1">
      <c r="B21" s="447" t="s">
        <v>232</v>
      </c>
      <c r="C21" s="447"/>
      <c r="D21" s="447"/>
      <c r="E21" s="46"/>
      <c r="F21" s="46">
        <v>7436088</v>
      </c>
      <c r="G21" s="47"/>
      <c r="H21" s="404">
        <f t="shared" si="0"/>
        <v>7255148.321083175</v>
      </c>
      <c r="I21" s="404">
        <f t="shared" si="1"/>
        <v>6209958.783201776</v>
      </c>
      <c r="J21" s="46"/>
      <c r="K21" s="404">
        <f t="shared" si="2"/>
        <v>3394729.5454545454</v>
      </c>
      <c r="L21" s="47"/>
      <c r="M21" s="404">
        <f t="shared" si="3"/>
        <v>24295924.649739496</v>
      </c>
      <c r="N21" s="48"/>
      <c r="O21" s="413">
        <v>7255148.321083175</v>
      </c>
      <c r="P21" s="413"/>
      <c r="Q21" s="48"/>
      <c r="R21" s="413">
        <v>6209958.783201776</v>
      </c>
      <c r="S21" s="413"/>
      <c r="T21" s="48"/>
      <c r="U21" s="425"/>
      <c r="V21" s="420">
        <v>3394729.5454545454</v>
      </c>
      <c r="W21" s="420"/>
      <c r="X21" s="420"/>
    </row>
    <row r="22" spans="2:24" ht="12.75" outlineLevel="1">
      <c r="B22" s="472"/>
      <c r="C22" s="472"/>
      <c r="D22" s="472"/>
      <c r="E22" s="101"/>
      <c r="F22" s="101"/>
      <c r="G22" s="50"/>
      <c r="H22" s="48"/>
      <c r="I22" s="48"/>
      <c r="J22" s="101"/>
      <c r="K22" s="48"/>
      <c r="L22" s="50"/>
      <c r="M22" s="48"/>
      <c r="N22" s="48"/>
      <c r="O22" s="414"/>
      <c r="P22" s="414"/>
      <c r="Q22" s="48"/>
      <c r="R22" s="414"/>
      <c r="S22" s="414"/>
      <c r="T22" s="48"/>
      <c r="U22" s="425"/>
      <c r="V22" s="425"/>
      <c r="W22" s="425"/>
      <c r="X22" s="425"/>
    </row>
    <row r="23" spans="2:24" ht="12.75" outlineLevel="1">
      <c r="B23" s="447" t="s">
        <v>234</v>
      </c>
      <c r="C23" s="447"/>
      <c r="D23" s="447"/>
      <c r="E23" s="46"/>
      <c r="F23" s="46"/>
      <c r="G23" s="47"/>
      <c r="H23" s="404">
        <f t="shared" si="0"/>
        <v>55657345.454545446</v>
      </c>
      <c r="I23" s="404">
        <f t="shared" si="1"/>
        <v>0</v>
      </c>
      <c r="J23" s="46"/>
      <c r="K23" s="404">
        <f t="shared" si="2"/>
        <v>0</v>
      </c>
      <c r="L23" s="47"/>
      <c r="M23" s="404">
        <f t="shared" si="3"/>
        <v>55657345.454545446</v>
      </c>
      <c r="N23" s="48"/>
      <c r="O23" s="413">
        <v>55657345.454545446</v>
      </c>
      <c r="P23" s="413"/>
      <c r="Q23" s="48"/>
      <c r="R23" s="413"/>
      <c r="S23" s="413"/>
      <c r="T23" s="48"/>
      <c r="U23" s="425"/>
      <c r="V23" s="420"/>
      <c r="W23" s="420"/>
      <c r="X23" s="420"/>
    </row>
    <row r="24" spans="2:24" ht="12.75" outlineLevel="1">
      <c r="B24" s="447" t="s">
        <v>275</v>
      </c>
      <c r="C24" s="447"/>
      <c r="D24" s="447"/>
      <c r="E24" s="49"/>
      <c r="F24" s="49"/>
      <c r="G24" s="50"/>
      <c r="H24" s="48"/>
      <c r="I24" s="48"/>
      <c r="J24" s="49"/>
      <c r="K24" s="48"/>
      <c r="L24" s="50"/>
      <c r="M24" s="48"/>
      <c r="N24" s="48"/>
      <c r="O24" s="414"/>
      <c r="P24" s="414"/>
      <c r="Q24" s="48"/>
      <c r="R24" s="414"/>
      <c r="S24" s="414"/>
      <c r="T24" s="48"/>
      <c r="U24" s="421"/>
      <c r="V24" s="421"/>
      <c r="W24" s="421"/>
      <c r="X24" s="421"/>
    </row>
    <row r="25" spans="2:24" ht="12.75" outlineLevel="1">
      <c r="B25" s="448" t="s">
        <v>235</v>
      </c>
      <c r="C25" s="447"/>
      <c r="D25" s="447"/>
      <c r="E25" s="49"/>
      <c r="F25" s="49"/>
      <c r="G25" s="50"/>
      <c r="H25" s="48"/>
      <c r="I25" s="48"/>
      <c r="J25" s="49"/>
      <c r="K25" s="48"/>
      <c r="L25" s="50"/>
      <c r="M25" s="48"/>
      <c r="N25" s="48"/>
      <c r="O25" s="414"/>
      <c r="P25" s="414"/>
      <c r="Q25" s="48"/>
      <c r="R25" s="414"/>
      <c r="S25" s="414"/>
      <c r="T25" s="48"/>
      <c r="U25" s="421"/>
      <c r="V25" s="421"/>
      <c r="W25" s="421"/>
      <c r="X25" s="421"/>
    </row>
    <row r="26" spans="2:24" ht="12.75" outlineLevel="1">
      <c r="B26" s="447" t="s">
        <v>230</v>
      </c>
      <c r="C26" s="447"/>
      <c r="D26" s="447"/>
      <c r="E26" s="51"/>
      <c r="F26" s="51">
        <v>1</v>
      </c>
      <c r="G26" s="47"/>
      <c r="H26" s="404">
        <f aca="true" t="shared" si="4" ref="H26:H31">O26+P26</f>
        <v>20.892559947299077</v>
      </c>
      <c r="I26" s="404">
        <f aca="true" t="shared" si="5" ref="I26:I31">R26+S26</f>
        <v>9</v>
      </c>
      <c r="J26" s="51"/>
      <c r="K26" s="404">
        <f aca="true" t="shared" si="6" ref="K26:K31">SUM(U26:X26)</f>
        <v>5</v>
      </c>
      <c r="L26" s="47"/>
      <c r="M26" s="404">
        <f aca="true" t="shared" si="7" ref="M26:M31">SUM(E26:L26)</f>
        <v>35.89255994729908</v>
      </c>
      <c r="N26" s="48"/>
      <c r="O26" s="413">
        <v>20.892559947299077</v>
      </c>
      <c r="P26" s="413"/>
      <c r="Q26" s="48"/>
      <c r="R26" s="413">
        <v>9</v>
      </c>
      <c r="S26" s="413"/>
      <c r="T26" s="48"/>
      <c r="U26" s="426"/>
      <c r="V26" s="422">
        <v>2</v>
      </c>
      <c r="W26" s="422">
        <v>3</v>
      </c>
      <c r="X26" s="422"/>
    </row>
    <row r="27" spans="2:24" ht="12.75" outlineLevel="1">
      <c r="B27" s="472"/>
      <c r="C27" s="472"/>
      <c r="D27" s="472"/>
      <c r="E27" s="555"/>
      <c r="F27" s="555"/>
      <c r="G27" s="50"/>
      <c r="H27" s="48"/>
      <c r="I27" s="48"/>
      <c r="J27" s="555"/>
      <c r="K27" s="48"/>
      <c r="L27" s="50"/>
      <c r="M27" s="48"/>
      <c r="N27" s="48"/>
      <c r="O27" s="414"/>
      <c r="P27" s="414"/>
      <c r="Q27" s="48"/>
      <c r="R27" s="414"/>
      <c r="S27" s="414"/>
      <c r="T27" s="48"/>
      <c r="U27" s="426"/>
      <c r="V27" s="426"/>
      <c r="W27" s="426"/>
      <c r="X27" s="426"/>
    </row>
    <row r="28" spans="2:24" ht="12.75" outlineLevel="1">
      <c r="B28" s="447" t="s">
        <v>231</v>
      </c>
      <c r="C28" s="447"/>
      <c r="D28" s="447"/>
      <c r="E28" s="51"/>
      <c r="F28" s="51">
        <v>35320</v>
      </c>
      <c r="G28" s="47"/>
      <c r="H28" s="404">
        <f t="shared" si="4"/>
        <v>126097.18098415347</v>
      </c>
      <c r="I28" s="404">
        <f t="shared" si="5"/>
        <v>64100.94535519126</v>
      </c>
      <c r="J28" s="51"/>
      <c r="K28" s="404">
        <f t="shared" si="6"/>
        <v>30165.46511627907</v>
      </c>
      <c r="L28" s="47"/>
      <c r="M28" s="404">
        <f t="shared" si="7"/>
        <v>255683.5914556238</v>
      </c>
      <c r="N28" s="48"/>
      <c r="O28" s="413">
        <v>126097.18098415347</v>
      </c>
      <c r="P28" s="413"/>
      <c r="Q28" s="48"/>
      <c r="R28" s="413">
        <v>64100.94535519126</v>
      </c>
      <c r="S28" s="413"/>
      <c r="T28" s="48"/>
      <c r="U28" s="426"/>
      <c r="V28" s="422">
        <v>21285.46511627907</v>
      </c>
      <c r="W28" s="422">
        <v>8880</v>
      </c>
      <c r="X28" s="422"/>
    </row>
    <row r="29" spans="2:24" ht="12.75" outlineLevel="1">
      <c r="B29" s="447" t="s">
        <v>236</v>
      </c>
      <c r="C29" s="447"/>
      <c r="D29" s="447"/>
      <c r="E29" s="51"/>
      <c r="F29" s="51">
        <v>381562.85714285716</v>
      </c>
      <c r="G29" s="47"/>
      <c r="H29" s="404">
        <f t="shared" si="4"/>
        <v>2386427.537190084</v>
      </c>
      <c r="I29" s="404">
        <f t="shared" si="5"/>
        <v>980712</v>
      </c>
      <c r="J29" s="51"/>
      <c r="K29" s="404">
        <f t="shared" si="6"/>
        <v>105469.91304347826</v>
      </c>
      <c r="L29" s="47"/>
      <c r="M29" s="404">
        <f t="shared" si="7"/>
        <v>3854172.307376419</v>
      </c>
      <c r="N29" s="48"/>
      <c r="O29" s="413">
        <v>2386427.537190084</v>
      </c>
      <c r="P29" s="413"/>
      <c r="Q29" s="48"/>
      <c r="R29" s="413">
        <v>980712</v>
      </c>
      <c r="S29" s="413"/>
      <c r="T29" s="48"/>
      <c r="U29" s="426"/>
      <c r="V29" s="422">
        <v>2623.9130434782605</v>
      </c>
      <c r="W29" s="422">
        <v>102846</v>
      </c>
      <c r="X29" s="422"/>
    </row>
    <row r="30" spans="2:24" ht="12.75" outlineLevel="1">
      <c r="B30" s="472"/>
      <c r="C30" s="472"/>
      <c r="D30" s="472"/>
      <c r="E30" s="555"/>
      <c r="F30" s="555"/>
      <c r="G30" s="50"/>
      <c r="H30" s="48"/>
      <c r="I30" s="48"/>
      <c r="J30" s="555"/>
      <c r="K30" s="48"/>
      <c r="L30" s="50"/>
      <c r="M30" s="48"/>
      <c r="N30" s="48"/>
      <c r="O30" s="414"/>
      <c r="P30" s="414"/>
      <c r="Q30" s="48"/>
      <c r="R30" s="414"/>
      <c r="S30" s="414"/>
      <c r="T30" s="48"/>
      <c r="U30" s="426"/>
      <c r="V30" s="426"/>
      <c r="W30" s="426"/>
      <c r="X30" s="426"/>
    </row>
    <row r="31" spans="2:24" ht="12.75" outlineLevel="1">
      <c r="B31" s="447" t="s">
        <v>234</v>
      </c>
      <c r="C31" s="447"/>
      <c r="D31" s="447"/>
      <c r="E31" s="51"/>
      <c r="F31" s="51"/>
      <c r="G31" s="47"/>
      <c r="H31" s="404">
        <f t="shared" si="4"/>
        <v>12750389.090909092</v>
      </c>
      <c r="I31" s="404">
        <f t="shared" si="5"/>
        <v>0</v>
      </c>
      <c r="J31" s="51"/>
      <c r="K31" s="404">
        <f t="shared" si="6"/>
        <v>1341372.5490196077</v>
      </c>
      <c r="L31" s="47"/>
      <c r="M31" s="404">
        <f t="shared" si="7"/>
        <v>14091761.639928699</v>
      </c>
      <c r="N31" s="48"/>
      <c r="O31" s="413">
        <v>12750389.090909092</v>
      </c>
      <c r="P31" s="413"/>
      <c r="Q31" s="48"/>
      <c r="R31" s="413"/>
      <c r="S31" s="413"/>
      <c r="T31" s="48"/>
      <c r="U31" s="426"/>
      <c r="V31" s="422">
        <v>1341372.5490196077</v>
      </c>
      <c r="W31" s="422"/>
      <c r="X31" s="422"/>
    </row>
    <row r="32" spans="2:24" ht="12.75" outlineLevel="1">
      <c r="B32" s="447" t="s">
        <v>275</v>
      </c>
      <c r="C32" s="447"/>
      <c r="D32" s="447"/>
      <c r="E32" s="49"/>
      <c r="F32" s="49"/>
      <c r="G32" s="50"/>
      <c r="H32" s="48"/>
      <c r="I32" s="48"/>
      <c r="J32" s="49"/>
      <c r="K32" s="48"/>
      <c r="L32" s="50"/>
      <c r="M32" s="48"/>
      <c r="N32" s="48"/>
      <c r="O32" s="414"/>
      <c r="P32" s="414"/>
      <c r="Q32" s="48"/>
      <c r="R32" s="414"/>
      <c r="S32" s="414"/>
      <c r="T32" s="48"/>
      <c r="U32" s="421"/>
      <c r="V32" s="421"/>
      <c r="W32" s="421"/>
      <c r="X32" s="421"/>
    </row>
    <row r="33" spans="2:24" ht="12.75" outlineLevel="1">
      <c r="B33" s="448" t="s">
        <v>237</v>
      </c>
      <c r="C33" s="447"/>
      <c r="D33" s="447"/>
      <c r="E33" s="49"/>
      <c r="F33" s="49"/>
      <c r="G33" s="50"/>
      <c r="H33" s="48"/>
      <c r="I33" s="48"/>
      <c r="J33" s="49"/>
      <c r="K33" s="48"/>
      <c r="L33" s="50"/>
      <c r="M33" s="48"/>
      <c r="N33" s="48"/>
      <c r="O33" s="414"/>
      <c r="P33" s="414"/>
      <c r="Q33" s="48"/>
      <c r="R33" s="414"/>
      <c r="S33" s="414"/>
      <c r="T33" s="48"/>
      <c r="U33" s="421"/>
      <c r="V33" s="421"/>
      <c r="W33" s="421"/>
      <c r="X33" s="421"/>
    </row>
    <row r="34" spans="2:24" ht="12.75" outlineLevel="1">
      <c r="B34" s="447" t="s">
        <v>230</v>
      </c>
      <c r="C34" s="447"/>
      <c r="D34" s="447"/>
      <c r="E34" s="51"/>
      <c r="F34" s="51"/>
      <c r="G34" s="47"/>
      <c r="H34" s="404">
        <f aca="true" t="shared" si="8" ref="H34:H39">O34+P34</f>
        <v>0</v>
      </c>
      <c r="I34" s="404">
        <f aca="true" t="shared" si="9" ref="I34:I39">R34+S34</f>
        <v>7.3914288052951065</v>
      </c>
      <c r="J34" s="51"/>
      <c r="K34" s="404">
        <f aca="true" t="shared" si="10" ref="K34:K39">SUM(U34:X34)</f>
        <v>70.4141304347826</v>
      </c>
      <c r="L34" s="47"/>
      <c r="M34" s="404">
        <f aca="true" t="shared" si="11" ref="M34:M39">SUM(E34:L34)</f>
        <v>77.80555924007771</v>
      </c>
      <c r="N34" s="48"/>
      <c r="O34" s="413"/>
      <c r="P34" s="413"/>
      <c r="Q34" s="48"/>
      <c r="R34" s="413">
        <v>7.3914288052951065</v>
      </c>
      <c r="S34" s="413"/>
      <c r="T34" s="48"/>
      <c r="U34" s="426"/>
      <c r="V34" s="422">
        <v>69.4141304347826</v>
      </c>
      <c r="W34" s="422"/>
      <c r="X34" s="422">
        <v>1</v>
      </c>
    </row>
    <row r="35" spans="2:24" ht="12.75" outlineLevel="1">
      <c r="B35" s="472"/>
      <c r="C35" s="472"/>
      <c r="D35" s="472"/>
      <c r="E35" s="555"/>
      <c r="F35" s="555"/>
      <c r="G35" s="50"/>
      <c r="H35" s="48"/>
      <c r="I35" s="48"/>
      <c r="J35" s="555"/>
      <c r="K35" s="48"/>
      <c r="L35" s="50"/>
      <c r="M35" s="48"/>
      <c r="N35" s="48"/>
      <c r="O35" s="414"/>
      <c r="P35" s="414"/>
      <c r="Q35" s="48"/>
      <c r="R35" s="414"/>
      <c r="S35" s="414"/>
      <c r="T35" s="48"/>
      <c r="U35" s="426"/>
      <c r="V35" s="426"/>
      <c r="W35" s="426"/>
      <c r="X35" s="426"/>
    </row>
    <row r="36" spans="2:24" ht="12.75" outlineLevel="1">
      <c r="B36" s="447" t="s">
        <v>231</v>
      </c>
      <c r="C36" s="447"/>
      <c r="D36" s="447"/>
      <c r="E36" s="51"/>
      <c r="F36" s="51"/>
      <c r="G36" s="47"/>
      <c r="H36" s="404">
        <f t="shared" si="8"/>
        <v>0</v>
      </c>
      <c r="I36" s="404">
        <f t="shared" si="9"/>
        <v>35996.67533849543</v>
      </c>
      <c r="J36" s="51"/>
      <c r="K36" s="404">
        <f t="shared" si="10"/>
        <v>842856.6314553991</v>
      </c>
      <c r="L36" s="47"/>
      <c r="M36" s="404">
        <f t="shared" si="11"/>
        <v>878853.3067938945</v>
      </c>
      <c r="N36" s="48"/>
      <c r="O36" s="413"/>
      <c r="P36" s="413"/>
      <c r="Q36" s="48"/>
      <c r="R36" s="413">
        <v>35996.67533849543</v>
      </c>
      <c r="S36" s="413"/>
      <c r="T36" s="48"/>
      <c r="U36" s="426"/>
      <c r="V36" s="422">
        <v>837456.6314553991</v>
      </c>
      <c r="W36" s="422"/>
      <c r="X36" s="422">
        <v>5400</v>
      </c>
    </row>
    <row r="37" spans="2:24" ht="12.75" outlineLevel="1">
      <c r="B37" s="447" t="s">
        <v>232</v>
      </c>
      <c r="C37" s="447"/>
      <c r="D37" s="447"/>
      <c r="E37" s="51"/>
      <c r="F37" s="51"/>
      <c r="G37" s="47"/>
      <c r="H37" s="404">
        <f t="shared" si="8"/>
        <v>0</v>
      </c>
      <c r="I37" s="404">
        <f t="shared" si="9"/>
        <v>353644.36066527467</v>
      </c>
      <c r="J37" s="51"/>
      <c r="K37" s="404">
        <f t="shared" si="10"/>
        <v>6590831</v>
      </c>
      <c r="L37" s="47"/>
      <c r="M37" s="404">
        <f t="shared" si="11"/>
        <v>6944475.360665275</v>
      </c>
      <c r="N37" s="48"/>
      <c r="O37" s="413"/>
      <c r="P37" s="413"/>
      <c r="Q37" s="48"/>
      <c r="R37" s="413">
        <v>353644.36066527467</v>
      </c>
      <c r="S37" s="413"/>
      <c r="T37" s="48"/>
      <c r="U37" s="426"/>
      <c r="V37" s="422">
        <v>6536975</v>
      </c>
      <c r="W37" s="422"/>
      <c r="X37" s="422">
        <v>53856</v>
      </c>
    </row>
    <row r="38" spans="2:24" ht="12.75" outlineLevel="1">
      <c r="B38" s="472"/>
      <c r="C38" s="472"/>
      <c r="D38" s="472"/>
      <c r="E38" s="555"/>
      <c r="F38" s="555"/>
      <c r="G38" s="50"/>
      <c r="H38" s="48"/>
      <c r="I38" s="48"/>
      <c r="J38" s="555"/>
      <c r="K38" s="48"/>
      <c r="L38" s="50"/>
      <c r="M38" s="48"/>
      <c r="N38" s="48"/>
      <c r="O38" s="414"/>
      <c r="P38" s="414"/>
      <c r="Q38" s="48"/>
      <c r="R38" s="414"/>
      <c r="S38" s="414"/>
      <c r="T38" s="48"/>
      <c r="U38" s="426"/>
      <c r="V38" s="426"/>
      <c r="W38" s="426"/>
      <c r="X38" s="426"/>
    </row>
    <row r="39" spans="2:24" ht="12.75" outlineLevel="1">
      <c r="B39" s="447" t="s">
        <v>234</v>
      </c>
      <c r="C39" s="447"/>
      <c r="D39" s="447"/>
      <c r="E39" s="51"/>
      <c r="F39" s="51"/>
      <c r="G39" s="47"/>
      <c r="H39" s="404">
        <f t="shared" si="8"/>
        <v>0</v>
      </c>
      <c r="I39" s="404">
        <f t="shared" si="9"/>
        <v>0</v>
      </c>
      <c r="J39" s="51"/>
      <c r="K39" s="404">
        <f t="shared" si="10"/>
        <v>83654313.72549018</v>
      </c>
      <c r="L39" s="47"/>
      <c r="M39" s="404">
        <f t="shared" si="11"/>
        <v>83654313.72549018</v>
      </c>
      <c r="N39" s="48"/>
      <c r="O39" s="413"/>
      <c r="P39" s="413"/>
      <c r="Q39" s="48"/>
      <c r="R39" s="413"/>
      <c r="S39" s="413"/>
      <c r="T39" s="48"/>
      <c r="U39" s="426"/>
      <c r="V39" s="422">
        <v>83654313.72549018</v>
      </c>
      <c r="W39" s="422"/>
      <c r="X39" s="422"/>
    </row>
    <row r="40" spans="2:24" ht="12.75" outlineLevel="1">
      <c r="B40" s="447" t="s">
        <v>275</v>
      </c>
      <c r="C40" s="447"/>
      <c r="D40" s="447"/>
      <c r="E40" s="49"/>
      <c r="F40" s="49"/>
      <c r="G40" s="50"/>
      <c r="H40" s="48"/>
      <c r="I40" s="48"/>
      <c r="J40" s="49"/>
      <c r="K40" s="48"/>
      <c r="L40" s="50"/>
      <c r="M40" s="48"/>
      <c r="N40" s="48"/>
      <c r="O40" s="414"/>
      <c r="P40" s="414"/>
      <c r="Q40" s="48"/>
      <c r="R40" s="414"/>
      <c r="S40" s="414"/>
      <c r="T40" s="48"/>
      <c r="U40" s="421"/>
      <c r="V40" s="421"/>
      <c r="W40" s="421"/>
      <c r="X40" s="421"/>
    </row>
    <row r="41" spans="2:24" ht="12.75" outlineLevel="1">
      <c r="B41" s="448" t="s">
        <v>238</v>
      </c>
      <c r="C41" s="447"/>
      <c r="D41" s="447"/>
      <c r="E41" s="49"/>
      <c r="F41" s="49"/>
      <c r="G41" s="50"/>
      <c r="H41" s="48"/>
      <c r="I41" s="48"/>
      <c r="J41" s="49"/>
      <c r="K41" s="48"/>
      <c r="L41" s="50"/>
      <c r="M41" s="48"/>
      <c r="N41" s="48"/>
      <c r="O41" s="414"/>
      <c r="P41" s="414"/>
      <c r="Q41" s="48"/>
      <c r="R41" s="414"/>
      <c r="S41" s="414"/>
      <c r="T41" s="48"/>
      <c r="U41" s="421"/>
      <c r="V41" s="421"/>
      <c r="W41" s="421"/>
      <c r="X41" s="421"/>
    </row>
    <row r="42" spans="2:24" ht="12.75" outlineLevel="1">
      <c r="B42" s="447" t="s">
        <v>230</v>
      </c>
      <c r="C42" s="447"/>
      <c r="D42" s="447"/>
      <c r="E42" s="51"/>
      <c r="F42" s="51"/>
      <c r="G42" s="47"/>
      <c r="H42" s="404">
        <f aca="true" t="shared" si="12" ref="H42:H47">O42+P42</f>
        <v>0</v>
      </c>
      <c r="I42" s="404">
        <f aca="true" t="shared" si="13" ref="I42:I47">R42+S42</f>
        <v>9</v>
      </c>
      <c r="J42" s="51"/>
      <c r="K42" s="404">
        <f aca="true" t="shared" si="14" ref="K42:K47">SUM(U42:X42)</f>
        <v>10.868115942028986</v>
      </c>
      <c r="L42" s="47"/>
      <c r="M42" s="404">
        <f aca="true" t="shared" si="15" ref="M42:M47">SUM(E42:L42)</f>
        <v>19.868115942028986</v>
      </c>
      <c r="N42" s="48"/>
      <c r="O42" s="413"/>
      <c r="P42" s="413"/>
      <c r="Q42" s="48"/>
      <c r="R42" s="413">
        <v>9</v>
      </c>
      <c r="S42" s="413"/>
      <c r="T42" s="48"/>
      <c r="U42" s="426"/>
      <c r="V42" s="422">
        <v>10.868115942028986</v>
      </c>
      <c r="W42" s="422"/>
      <c r="X42" s="422"/>
    </row>
    <row r="43" spans="2:24" ht="12.75" outlineLevel="1">
      <c r="B43" s="472"/>
      <c r="C43" s="472"/>
      <c r="D43" s="472"/>
      <c r="E43" s="555"/>
      <c r="F43" s="555"/>
      <c r="G43" s="50"/>
      <c r="H43" s="48"/>
      <c r="I43" s="48"/>
      <c r="J43" s="555"/>
      <c r="K43" s="48"/>
      <c r="L43" s="50"/>
      <c r="M43" s="48"/>
      <c r="N43" s="48"/>
      <c r="O43" s="414"/>
      <c r="P43" s="414"/>
      <c r="Q43" s="48"/>
      <c r="R43" s="414"/>
      <c r="S43" s="414"/>
      <c r="T43" s="48"/>
      <c r="U43" s="426"/>
      <c r="V43" s="426"/>
      <c r="W43" s="426"/>
      <c r="X43" s="426"/>
    </row>
    <row r="44" spans="2:24" ht="12.75" outlineLevel="1">
      <c r="B44" s="447" t="s">
        <v>231</v>
      </c>
      <c r="C44" s="447"/>
      <c r="D44" s="447"/>
      <c r="E44" s="51"/>
      <c r="F44" s="51"/>
      <c r="G44" s="47"/>
      <c r="H44" s="404">
        <f t="shared" si="12"/>
        <v>0</v>
      </c>
      <c r="I44" s="404">
        <f t="shared" si="13"/>
        <v>53052.02935010483</v>
      </c>
      <c r="J44" s="51"/>
      <c r="K44" s="404">
        <f t="shared" si="14"/>
        <v>238339.78873239437</v>
      </c>
      <c r="L44" s="47"/>
      <c r="M44" s="404">
        <f t="shared" si="15"/>
        <v>291391.8180824992</v>
      </c>
      <c r="N44" s="48"/>
      <c r="O44" s="413"/>
      <c r="P44" s="413"/>
      <c r="Q44" s="48"/>
      <c r="R44" s="413">
        <v>53052.02935010483</v>
      </c>
      <c r="S44" s="413"/>
      <c r="T44" s="48"/>
      <c r="U44" s="426"/>
      <c r="V44" s="422">
        <v>238339.78873239437</v>
      </c>
      <c r="W44" s="422"/>
      <c r="X44" s="422"/>
    </row>
    <row r="45" spans="2:24" ht="12.75" outlineLevel="1">
      <c r="B45" s="447" t="s">
        <v>236</v>
      </c>
      <c r="C45" s="447"/>
      <c r="D45" s="447"/>
      <c r="E45" s="51"/>
      <c r="F45" s="51"/>
      <c r="G45" s="47"/>
      <c r="H45" s="404">
        <f t="shared" si="12"/>
        <v>0</v>
      </c>
      <c r="I45" s="404">
        <f t="shared" si="13"/>
        <v>939636</v>
      </c>
      <c r="J45" s="51"/>
      <c r="K45" s="404">
        <f t="shared" si="14"/>
        <v>2101154.8387096776</v>
      </c>
      <c r="L45" s="47"/>
      <c r="M45" s="404">
        <f t="shared" si="15"/>
        <v>3040790.8387096776</v>
      </c>
      <c r="N45" s="48"/>
      <c r="O45" s="413"/>
      <c r="P45" s="413"/>
      <c r="Q45" s="48"/>
      <c r="R45" s="413">
        <v>939636</v>
      </c>
      <c r="S45" s="413"/>
      <c r="T45" s="48"/>
      <c r="U45" s="426"/>
      <c r="V45" s="422">
        <v>2101154.8387096776</v>
      </c>
      <c r="W45" s="422"/>
      <c r="X45" s="422"/>
    </row>
    <row r="46" spans="2:24" ht="12.75" outlineLevel="1">
      <c r="B46" s="472"/>
      <c r="C46" s="472"/>
      <c r="D46" s="472"/>
      <c r="E46" s="555"/>
      <c r="F46" s="555"/>
      <c r="G46" s="50"/>
      <c r="H46" s="48"/>
      <c r="I46" s="48"/>
      <c r="J46" s="555"/>
      <c r="K46" s="48"/>
      <c r="L46" s="50"/>
      <c r="M46" s="48"/>
      <c r="N46" s="48"/>
      <c r="O46" s="414"/>
      <c r="P46" s="414"/>
      <c r="Q46" s="48"/>
      <c r="R46" s="414"/>
      <c r="S46" s="414"/>
      <c r="T46" s="48"/>
      <c r="U46" s="426"/>
      <c r="V46" s="426"/>
      <c r="W46" s="426"/>
      <c r="X46" s="426"/>
    </row>
    <row r="47" spans="2:24" ht="12.75" outlineLevel="1">
      <c r="B47" s="447" t="s">
        <v>234</v>
      </c>
      <c r="C47" s="447"/>
      <c r="D47" s="447"/>
      <c r="E47" s="51"/>
      <c r="F47" s="51"/>
      <c r="G47" s="47"/>
      <c r="H47" s="404">
        <f t="shared" si="12"/>
        <v>0</v>
      </c>
      <c r="I47" s="404">
        <f t="shared" si="13"/>
        <v>0</v>
      </c>
      <c r="J47" s="51"/>
      <c r="K47" s="404">
        <f t="shared" si="14"/>
        <v>53723333.33333333</v>
      </c>
      <c r="L47" s="47"/>
      <c r="M47" s="404">
        <f t="shared" si="15"/>
        <v>53723333.33333333</v>
      </c>
      <c r="N47" s="48"/>
      <c r="O47" s="413"/>
      <c r="P47" s="413"/>
      <c r="Q47" s="48"/>
      <c r="R47" s="413"/>
      <c r="S47" s="413"/>
      <c r="T47" s="48"/>
      <c r="U47" s="426"/>
      <c r="V47" s="422">
        <v>53723333.33333333</v>
      </c>
      <c r="W47" s="422"/>
      <c r="X47" s="422"/>
    </row>
    <row r="48" spans="2:24" ht="12.75" outlineLevel="1">
      <c r="B48" s="447" t="s">
        <v>275</v>
      </c>
      <c r="C48" s="447"/>
      <c r="D48" s="447"/>
      <c r="E48" s="52"/>
      <c r="F48" s="52"/>
      <c r="G48" s="50"/>
      <c r="H48" s="48"/>
      <c r="I48" s="48"/>
      <c r="J48" s="52"/>
      <c r="K48" s="48"/>
      <c r="L48" s="50"/>
      <c r="M48" s="48"/>
      <c r="N48" s="48"/>
      <c r="O48" s="414"/>
      <c r="P48" s="414"/>
      <c r="Q48" s="48"/>
      <c r="R48" s="414"/>
      <c r="S48" s="414"/>
      <c r="T48" s="48"/>
      <c r="U48" s="423"/>
      <c r="V48" s="423"/>
      <c r="W48" s="423"/>
      <c r="X48" s="423"/>
    </row>
    <row r="49" spans="2:24" ht="12.75" outlineLevel="1">
      <c r="B49" s="448" t="s">
        <v>239</v>
      </c>
      <c r="C49" s="447"/>
      <c r="D49" s="447"/>
      <c r="E49" s="49"/>
      <c r="F49" s="49"/>
      <c r="G49" s="50"/>
      <c r="H49" s="48"/>
      <c r="I49" s="48"/>
      <c r="J49" s="49"/>
      <c r="K49" s="48"/>
      <c r="L49" s="50"/>
      <c r="M49" s="48"/>
      <c r="N49" s="48"/>
      <c r="O49" s="414"/>
      <c r="P49" s="414"/>
      <c r="Q49" s="48"/>
      <c r="R49" s="414"/>
      <c r="S49" s="414"/>
      <c r="T49" s="48"/>
      <c r="U49" s="421"/>
      <c r="V49" s="421"/>
      <c r="W49" s="421"/>
      <c r="X49" s="421"/>
    </row>
    <row r="50" spans="2:24" ht="12.75" outlineLevel="1">
      <c r="B50" s="447" t="s">
        <v>230</v>
      </c>
      <c r="C50" s="447"/>
      <c r="D50" s="447"/>
      <c r="E50" s="51"/>
      <c r="F50" s="51">
        <v>24.416666666666657</v>
      </c>
      <c r="G50" s="47"/>
      <c r="H50" s="404">
        <f aca="true" t="shared" si="16" ref="H50:H55">O50+P50</f>
        <v>214.5264163372859</v>
      </c>
      <c r="I50" s="404">
        <f aca="true" t="shared" si="17" ref="I50:I55">R50+S50</f>
        <v>205.79317964681968</v>
      </c>
      <c r="J50" s="51"/>
      <c r="K50" s="404">
        <f aca="true" t="shared" si="18" ref="K50:K55">SUM(U50:X50)</f>
        <v>85.3909420289855</v>
      </c>
      <c r="L50" s="47">
        <v>1</v>
      </c>
      <c r="M50" s="404">
        <f aca="true" t="shared" si="19" ref="M50:M55">SUM(E50:L50)</f>
        <v>531.1272046797577</v>
      </c>
      <c r="N50" s="48"/>
      <c r="O50" s="413">
        <v>208.5264163372859</v>
      </c>
      <c r="P50" s="413">
        <v>6</v>
      </c>
      <c r="Q50" s="48"/>
      <c r="R50" s="413">
        <v>205.79317964681968</v>
      </c>
      <c r="S50" s="413"/>
      <c r="T50" s="48"/>
      <c r="U50" s="426"/>
      <c r="V50" s="422">
        <v>69.3909420289855</v>
      </c>
      <c r="W50" s="422">
        <v>15</v>
      </c>
      <c r="X50" s="422">
        <v>1</v>
      </c>
    </row>
    <row r="51" spans="2:24" ht="12.75" outlineLevel="1">
      <c r="B51" s="472"/>
      <c r="C51" s="472"/>
      <c r="D51" s="472"/>
      <c r="E51" s="555"/>
      <c r="F51" s="555"/>
      <c r="G51" s="50"/>
      <c r="H51" s="48"/>
      <c r="I51" s="48"/>
      <c r="J51" s="555"/>
      <c r="K51" s="48"/>
      <c r="L51" s="50"/>
      <c r="M51" s="48"/>
      <c r="N51" s="48"/>
      <c r="O51" s="414"/>
      <c r="P51" s="414"/>
      <c r="Q51" s="48"/>
      <c r="R51" s="414"/>
      <c r="S51" s="414"/>
      <c r="T51" s="48"/>
      <c r="U51" s="426"/>
      <c r="V51" s="426"/>
      <c r="W51" s="426"/>
      <c r="X51" s="426"/>
    </row>
    <row r="52" spans="2:24" ht="12.75" outlineLevel="1">
      <c r="B52" s="447" t="s">
        <v>231</v>
      </c>
      <c r="C52" s="447"/>
      <c r="D52" s="447"/>
      <c r="E52" s="51"/>
      <c r="F52" s="51">
        <v>60816.01249999998</v>
      </c>
      <c r="G52" s="47"/>
      <c r="H52" s="404">
        <f t="shared" si="16"/>
        <v>1436437.3924202446</v>
      </c>
      <c r="I52" s="404">
        <f t="shared" si="17"/>
        <v>918893.1661107216</v>
      </c>
      <c r="J52" s="51"/>
      <c r="K52" s="404">
        <f t="shared" si="18"/>
        <v>321782.6197786132</v>
      </c>
      <c r="L52" s="47">
        <v>16964</v>
      </c>
      <c r="M52" s="404">
        <f t="shared" si="19"/>
        <v>2754893.190809579</v>
      </c>
      <c r="N52" s="48"/>
      <c r="O52" s="413">
        <v>1419001.3924202446</v>
      </c>
      <c r="P52" s="413">
        <v>17436</v>
      </c>
      <c r="Q52" s="48"/>
      <c r="R52" s="413">
        <v>918893.1661107216</v>
      </c>
      <c r="S52" s="413"/>
      <c r="T52" s="48"/>
      <c r="U52" s="426"/>
      <c r="V52" s="422">
        <v>246347.96626984127</v>
      </c>
      <c r="W52" s="422">
        <v>68942.65350877194</v>
      </c>
      <c r="X52" s="422">
        <v>6492</v>
      </c>
    </row>
    <row r="53" spans="2:24" ht="12.75" outlineLevel="1">
      <c r="B53" s="447" t="s">
        <v>232</v>
      </c>
      <c r="C53" s="447"/>
      <c r="D53" s="447"/>
      <c r="E53" s="51"/>
      <c r="F53" s="51">
        <v>524952.6</v>
      </c>
      <c r="G53" s="47"/>
      <c r="H53" s="404">
        <f t="shared" si="16"/>
        <v>14398230.70652832</v>
      </c>
      <c r="I53" s="404">
        <f t="shared" si="17"/>
        <v>8934930.701061636</v>
      </c>
      <c r="J53" s="51"/>
      <c r="K53" s="404">
        <f t="shared" si="18"/>
        <v>3136940</v>
      </c>
      <c r="L53" s="47">
        <v>170788</v>
      </c>
      <c r="M53" s="404">
        <f t="shared" si="19"/>
        <v>27165842.00758996</v>
      </c>
      <c r="N53" s="48"/>
      <c r="O53" s="413">
        <v>14213010.70652832</v>
      </c>
      <c r="P53" s="413">
        <v>185220</v>
      </c>
      <c r="Q53" s="48"/>
      <c r="R53" s="413">
        <v>8934930.701061636</v>
      </c>
      <c r="S53" s="413"/>
      <c r="T53" s="48"/>
      <c r="U53" s="426"/>
      <c r="V53" s="422">
        <v>2418968.9655172415</v>
      </c>
      <c r="W53" s="422">
        <v>641531.0344827586</v>
      </c>
      <c r="X53" s="422">
        <v>76440</v>
      </c>
    </row>
    <row r="54" spans="2:24" ht="12.75" outlineLevel="1">
      <c r="B54" s="472"/>
      <c r="C54" s="472"/>
      <c r="D54" s="472"/>
      <c r="E54" s="555"/>
      <c r="F54" s="555"/>
      <c r="G54" s="50"/>
      <c r="H54" s="48"/>
      <c r="I54" s="48"/>
      <c r="J54" s="555"/>
      <c r="K54" s="48"/>
      <c r="L54" s="50"/>
      <c r="M54" s="48"/>
      <c r="N54" s="48"/>
      <c r="O54" s="414"/>
      <c r="P54" s="414"/>
      <c r="Q54" s="48"/>
      <c r="R54" s="414"/>
      <c r="S54" s="414"/>
      <c r="T54" s="48"/>
      <c r="U54" s="426"/>
      <c r="V54" s="426"/>
      <c r="W54" s="426"/>
      <c r="X54" s="426"/>
    </row>
    <row r="55" spans="2:24" ht="12.75" outlineLevel="1">
      <c r="B55" s="447" t="s">
        <v>234</v>
      </c>
      <c r="C55" s="447"/>
      <c r="D55" s="447"/>
      <c r="E55" s="51"/>
      <c r="F55" s="51"/>
      <c r="G55" s="47"/>
      <c r="H55" s="404">
        <f t="shared" si="16"/>
        <v>57994213.36363637</v>
      </c>
      <c r="I55" s="404">
        <f t="shared" si="17"/>
        <v>18317886.433945615</v>
      </c>
      <c r="J55" s="51"/>
      <c r="K55" s="404">
        <f t="shared" si="18"/>
        <v>13652058.823529411</v>
      </c>
      <c r="L55" s="47"/>
      <c r="M55" s="404">
        <f t="shared" si="19"/>
        <v>89964158.6211114</v>
      </c>
      <c r="N55" s="48"/>
      <c r="O55" s="413">
        <v>56506316.36363637</v>
      </c>
      <c r="P55" s="413">
        <v>1487897</v>
      </c>
      <c r="Q55" s="48"/>
      <c r="R55" s="413">
        <v>18317886.433945615</v>
      </c>
      <c r="S55" s="413"/>
      <c r="T55" s="48"/>
      <c r="U55" s="426"/>
      <c r="V55" s="422">
        <v>13652058.823529411</v>
      </c>
      <c r="W55" s="422">
        <v>0</v>
      </c>
      <c r="X55" s="422"/>
    </row>
    <row r="56" spans="2:24" ht="12.75" outlineLevel="1">
      <c r="B56" s="447" t="s">
        <v>275</v>
      </c>
      <c r="C56" s="447"/>
      <c r="D56" s="447"/>
      <c r="E56" s="49"/>
      <c r="F56" s="49"/>
      <c r="G56" s="50"/>
      <c r="H56" s="48"/>
      <c r="I56" s="48"/>
      <c r="J56" s="49"/>
      <c r="K56" s="48"/>
      <c r="L56" s="50"/>
      <c r="M56" s="48"/>
      <c r="N56" s="48"/>
      <c r="O56" s="414"/>
      <c r="P56" s="414"/>
      <c r="Q56" s="48"/>
      <c r="R56" s="414"/>
      <c r="S56" s="414"/>
      <c r="T56" s="48"/>
      <c r="U56" s="421"/>
      <c r="V56" s="421"/>
      <c r="W56" s="421"/>
      <c r="X56" s="421"/>
    </row>
    <row r="57" spans="2:24" ht="12.75" outlineLevel="1">
      <c r="B57" s="448" t="s">
        <v>240</v>
      </c>
      <c r="C57" s="447"/>
      <c r="D57" s="447"/>
      <c r="E57" s="49"/>
      <c r="F57" s="49"/>
      <c r="G57" s="50"/>
      <c r="H57" s="48"/>
      <c r="I57" s="48"/>
      <c r="J57" s="49"/>
      <c r="K57" s="48"/>
      <c r="L57" s="50"/>
      <c r="M57" s="48"/>
      <c r="N57" s="48"/>
      <c r="O57" s="414"/>
      <c r="P57" s="414"/>
      <c r="Q57" s="48"/>
      <c r="R57" s="414"/>
      <c r="S57" s="414"/>
      <c r="T57" s="48"/>
      <c r="U57" s="421"/>
      <c r="V57" s="421"/>
      <c r="W57" s="421"/>
      <c r="X57" s="421"/>
    </row>
    <row r="58" spans="2:24" ht="12.75" outlineLevel="1">
      <c r="B58" s="447" t="s">
        <v>230</v>
      </c>
      <c r="C58" s="447"/>
      <c r="D58" s="447"/>
      <c r="E58" s="51"/>
      <c r="F58" s="51">
        <v>1</v>
      </c>
      <c r="G58" s="47"/>
      <c r="H58" s="404">
        <f aca="true" t="shared" si="20" ref="H58:H63">O58+P58</f>
        <v>14.946969696969697</v>
      </c>
      <c r="I58" s="404">
        <f aca="true" t="shared" si="21" ref="I58:I63">R58+S58</f>
        <v>8</v>
      </c>
      <c r="J58" s="51"/>
      <c r="K58" s="404">
        <f aca="true" t="shared" si="22" ref="K58:K63">SUM(U58:X58)</f>
        <v>3.9090579710144926</v>
      </c>
      <c r="L58" s="47"/>
      <c r="M58" s="404">
        <f aca="true" t="shared" si="23" ref="M58:M63">SUM(E58:L58)</f>
        <v>27.856027667984186</v>
      </c>
      <c r="N58" s="48"/>
      <c r="O58" s="413">
        <v>14.946969696969697</v>
      </c>
      <c r="P58" s="413"/>
      <c r="Q58" s="48"/>
      <c r="R58" s="413">
        <v>8</v>
      </c>
      <c r="S58" s="413"/>
      <c r="T58" s="48"/>
      <c r="U58" s="426"/>
      <c r="V58" s="422">
        <v>3.9090579710144926</v>
      </c>
      <c r="W58" s="422"/>
      <c r="X58" s="422"/>
    </row>
    <row r="59" spans="2:24" ht="12.75" outlineLevel="1">
      <c r="B59" s="472"/>
      <c r="C59" s="472"/>
      <c r="D59" s="472"/>
      <c r="E59" s="555"/>
      <c r="F59" s="555"/>
      <c r="G59" s="50"/>
      <c r="H59" s="48"/>
      <c r="I59" s="48"/>
      <c r="J59" s="555"/>
      <c r="K59" s="48"/>
      <c r="L59" s="50"/>
      <c r="M59" s="48"/>
      <c r="N59" s="48"/>
      <c r="O59" s="414"/>
      <c r="P59" s="414"/>
      <c r="Q59" s="48"/>
      <c r="R59" s="414"/>
      <c r="S59" s="414"/>
      <c r="T59" s="48"/>
      <c r="U59" s="426"/>
      <c r="V59" s="426"/>
      <c r="W59" s="426"/>
      <c r="X59" s="426"/>
    </row>
    <row r="60" spans="2:24" ht="12.75" outlineLevel="1">
      <c r="B60" s="447" t="s">
        <v>231</v>
      </c>
      <c r="C60" s="447"/>
      <c r="D60" s="447"/>
      <c r="E60" s="51"/>
      <c r="F60" s="51">
        <v>9300</v>
      </c>
      <c r="G60" s="47"/>
      <c r="H60" s="404">
        <f t="shared" si="20"/>
        <v>96262.766610698</v>
      </c>
      <c r="I60" s="404">
        <f t="shared" si="21"/>
        <v>25227.015873015876</v>
      </c>
      <c r="J60" s="51"/>
      <c r="K60" s="404">
        <f t="shared" si="22"/>
        <v>23327.579365079364</v>
      </c>
      <c r="L60" s="47"/>
      <c r="M60" s="404">
        <f t="shared" si="23"/>
        <v>154117.36184879323</v>
      </c>
      <c r="N60" s="48"/>
      <c r="O60" s="413">
        <v>96262.766610698</v>
      </c>
      <c r="P60" s="413"/>
      <c r="Q60" s="48"/>
      <c r="R60" s="413">
        <v>25227.015873015876</v>
      </c>
      <c r="S60" s="413"/>
      <c r="T60" s="48"/>
      <c r="U60" s="426"/>
      <c r="V60" s="422">
        <v>23327.579365079364</v>
      </c>
      <c r="W60" s="422"/>
      <c r="X60" s="422"/>
    </row>
    <row r="61" spans="2:24" ht="12.75" outlineLevel="1">
      <c r="B61" s="447" t="s">
        <v>236</v>
      </c>
      <c r="C61" s="447"/>
      <c r="D61" s="447"/>
      <c r="E61" s="51"/>
      <c r="F61" s="51">
        <v>168656</v>
      </c>
      <c r="G61" s="47"/>
      <c r="H61" s="404">
        <f t="shared" si="20"/>
        <v>1040310.9440559443</v>
      </c>
      <c r="I61" s="404">
        <f t="shared" si="21"/>
        <v>387708.2222222222</v>
      </c>
      <c r="J61" s="51"/>
      <c r="K61" s="404">
        <f t="shared" si="22"/>
        <v>500788.5714285715</v>
      </c>
      <c r="L61" s="47"/>
      <c r="M61" s="404">
        <f t="shared" si="23"/>
        <v>2097463.737706738</v>
      </c>
      <c r="N61" s="48"/>
      <c r="O61" s="413">
        <v>1040310.9440559443</v>
      </c>
      <c r="P61" s="413"/>
      <c r="Q61" s="48"/>
      <c r="R61" s="413">
        <v>387708.2222222222</v>
      </c>
      <c r="S61" s="413"/>
      <c r="T61" s="48"/>
      <c r="U61" s="426"/>
      <c r="V61" s="422">
        <v>500788.5714285715</v>
      </c>
      <c r="W61" s="422"/>
      <c r="X61" s="422"/>
    </row>
    <row r="62" spans="2:24" ht="12.75" outlineLevel="1">
      <c r="B62" s="472"/>
      <c r="C62" s="472"/>
      <c r="D62" s="472"/>
      <c r="E62" s="555"/>
      <c r="F62" s="555"/>
      <c r="G62" s="50"/>
      <c r="H62" s="48"/>
      <c r="I62" s="48"/>
      <c r="J62" s="555"/>
      <c r="K62" s="48"/>
      <c r="L62" s="50"/>
      <c r="M62" s="48"/>
      <c r="N62" s="48"/>
      <c r="O62" s="414"/>
      <c r="P62" s="414"/>
      <c r="Q62" s="48"/>
      <c r="R62" s="414"/>
      <c r="S62" s="414"/>
      <c r="T62" s="48"/>
      <c r="U62" s="426"/>
      <c r="V62" s="426"/>
      <c r="W62" s="426"/>
      <c r="X62" s="426"/>
    </row>
    <row r="63" spans="2:24" ht="12.75" outlineLevel="1">
      <c r="B63" s="447" t="s">
        <v>234</v>
      </c>
      <c r="C63" s="447"/>
      <c r="D63" s="447"/>
      <c r="E63" s="51"/>
      <c r="F63" s="51"/>
      <c r="G63" s="47"/>
      <c r="H63" s="404">
        <f t="shared" si="20"/>
        <v>153627.27272727274</v>
      </c>
      <c r="I63" s="404">
        <f t="shared" si="21"/>
        <v>0</v>
      </c>
      <c r="J63" s="51"/>
      <c r="K63" s="404">
        <f t="shared" si="22"/>
        <v>0</v>
      </c>
      <c r="L63" s="47"/>
      <c r="M63" s="404">
        <f t="shared" si="23"/>
        <v>153627.27272727274</v>
      </c>
      <c r="N63" s="48"/>
      <c r="O63" s="413">
        <v>153627.27272727274</v>
      </c>
      <c r="P63" s="413"/>
      <c r="Q63" s="48"/>
      <c r="R63" s="413"/>
      <c r="S63" s="413"/>
      <c r="T63" s="48"/>
      <c r="U63" s="426"/>
      <c r="V63" s="422"/>
      <c r="W63" s="422"/>
      <c r="X63" s="422"/>
    </row>
    <row r="64" spans="2:24" ht="12.75" outlineLevel="1">
      <c r="B64" s="447" t="s">
        <v>275</v>
      </c>
      <c r="C64" s="447"/>
      <c r="D64" s="447"/>
      <c r="E64" s="52"/>
      <c r="F64" s="52"/>
      <c r="G64" s="50"/>
      <c r="H64" s="48"/>
      <c r="I64" s="48"/>
      <c r="J64" s="52"/>
      <c r="K64" s="48"/>
      <c r="L64" s="50"/>
      <c r="M64" s="48"/>
      <c r="N64" s="48"/>
      <c r="O64" s="414"/>
      <c r="P64" s="414"/>
      <c r="Q64" s="48"/>
      <c r="R64" s="414"/>
      <c r="S64" s="414"/>
      <c r="T64" s="48"/>
      <c r="U64" s="423"/>
      <c r="V64" s="423"/>
      <c r="W64" s="423"/>
      <c r="X64" s="423"/>
    </row>
    <row r="65" spans="2:24" ht="12.75" outlineLevel="1">
      <c r="B65" s="448" t="s">
        <v>241</v>
      </c>
      <c r="C65" s="447"/>
      <c r="D65" s="447"/>
      <c r="E65" s="49"/>
      <c r="F65" s="49"/>
      <c r="G65" s="50"/>
      <c r="H65" s="48"/>
      <c r="I65" s="48"/>
      <c r="J65" s="49"/>
      <c r="K65" s="48"/>
      <c r="L65" s="50"/>
      <c r="M65" s="48"/>
      <c r="N65" s="48"/>
      <c r="O65" s="414"/>
      <c r="P65" s="414"/>
      <c r="Q65" s="48"/>
      <c r="R65" s="414"/>
      <c r="S65" s="414"/>
      <c r="T65" s="48"/>
      <c r="U65" s="421"/>
      <c r="V65" s="421"/>
      <c r="W65" s="421"/>
      <c r="X65" s="421"/>
    </row>
    <row r="66" spans="2:24" ht="12.75" outlineLevel="1">
      <c r="B66" s="447" t="s">
        <v>230</v>
      </c>
      <c r="C66" s="447"/>
      <c r="D66" s="447"/>
      <c r="E66" s="46"/>
      <c r="F66" s="53"/>
      <c r="G66" s="47"/>
      <c r="H66" s="404">
        <f>O66+P66</f>
        <v>275.2972335600908</v>
      </c>
      <c r="I66" s="404">
        <f>R66+S66</f>
        <v>0</v>
      </c>
      <c r="J66" s="46">
        <v>1</v>
      </c>
      <c r="K66" s="404">
        <f>SUM(U66:X66)</f>
        <v>1.8185941043083897</v>
      </c>
      <c r="L66" s="47"/>
      <c r="M66" s="404">
        <f>SUM(E66:L66)</f>
        <v>278.11582766439915</v>
      </c>
      <c r="N66" s="48"/>
      <c r="O66" s="413">
        <v>275.2972335600908</v>
      </c>
      <c r="P66" s="413"/>
      <c r="Q66" s="48"/>
      <c r="R66" s="413"/>
      <c r="S66" s="413"/>
      <c r="T66" s="48"/>
      <c r="U66" s="425"/>
      <c r="V66" s="420"/>
      <c r="W66" s="420">
        <v>1.8185941043083897</v>
      </c>
      <c r="X66" s="420"/>
    </row>
    <row r="67" spans="2:24" ht="12.75" outlineLevel="1">
      <c r="B67" s="447" t="s">
        <v>242</v>
      </c>
      <c r="C67" s="447"/>
      <c r="D67" s="447"/>
      <c r="E67" s="46"/>
      <c r="F67" s="53"/>
      <c r="G67" s="47"/>
      <c r="H67" s="404">
        <f>O67+P67</f>
        <v>693522.137087691</v>
      </c>
      <c r="I67" s="404">
        <f>R67+S67</f>
        <v>0</v>
      </c>
      <c r="J67" s="46">
        <v>5900</v>
      </c>
      <c r="K67" s="404">
        <f>SUM(U67:X67)</f>
        <v>6564.315789473684</v>
      </c>
      <c r="L67" s="47"/>
      <c r="M67" s="404">
        <f>SUM(E67:L67)</f>
        <v>705986.4528771647</v>
      </c>
      <c r="N67" s="48"/>
      <c r="O67" s="413">
        <v>693522.137087691</v>
      </c>
      <c r="P67" s="413"/>
      <c r="Q67" s="48"/>
      <c r="R67" s="413"/>
      <c r="S67" s="413"/>
      <c r="T67" s="48"/>
      <c r="U67" s="425"/>
      <c r="V67" s="420"/>
      <c r="W67" s="420">
        <v>6564.315789473684</v>
      </c>
      <c r="X67" s="420"/>
    </row>
    <row r="68" spans="2:24" ht="12.75" outlineLevel="1">
      <c r="B68" s="447" t="s">
        <v>232</v>
      </c>
      <c r="C68" s="447"/>
      <c r="D68" s="447"/>
      <c r="E68" s="46"/>
      <c r="F68" s="53"/>
      <c r="G68" s="47"/>
      <c r="H68" s="404">
        <f>O68+P68</f>
        <v>6702417.347789819</v>
      </c>
      <c r="I68" s="404">
        <f>R68+S68</f>
        <v>0</v>
      </c>
      <c r="J68" s="46">
        <v>65430</v>
      </c>
      <c r="K68" s="404">
        <f>SUM(U68:X68)</f>
        <v>49654.02298850575</v>
      </c>
      <c r="L68" s="47"/>
      <c r="M68" s="404">
        <f>SUM(E68:L68)</f>
        <v>6817501.370778325</v>
      </c>
      <c r="N68" s="48"/>
      <c r="O68" s="413">
        <v>6702417.347789819</v>
      </c>
      <c r="P68" s="413"/>
      <c r="Q68" s="48"/>
      <c r="R68" s="413"/>
      <c r="S68" s="413"/>
      <c r="T68" s="48"/>
      <c r="U68" s="425"/>
      <c r="V68" s="420"/>
      <c r="W68" s="420">
        <v>49654.02298850575</v>
      </c>
      <c r="X68" s="420"/>
    </row>
    <row r="69" spans="2:24" ht="12.75" outlineLevel="1">
      <c r="B69" s="447" t="s">
        <v>233</v>
      </c>
      <c r="C69" s="447"/>
      <c r="D69" s="447"/>
      <c r="E69" s="46"/>
      <c r="F69" s="53"/>
      <c r="G69" s="47"/>
      <c r="H69" s="404">
        <f>O69+P69</f>
        <v>2807015479.9154334</v>
      </c>
      <c r="I69" s="404">
        <f>R69+S69</f>
        <v>0</v>
      </c>
      <c r="J69" s="46">
        <v>5054200</v>
      </c>
      <c r="K69" s="404">
        <f>SUM(U69:X69)</f>
        <v>0</v>
      </c>
      <c r="L69" s="47"/>
      <c r="M69" s="404">
        <f>SUM(E69:L69)</f>
        <v>2812069679.9154334</v>
      </c>
      <c r="N69" s="48"/>
      <c r="O69" s="413">
        <v>2807015479.9154334</v>
      </c>
      <c r="P69" s="413"/>
      <c r="Q69" s="48"/>
      <c r="R69" s="413"/>
      <c r="S69" s="413"/>
      <c r="T69" s="48"/>
      <c r="U69" s="425"/>
      <c r="V69" s="420"/>
      <c r="W69" s="420"/>
      <c r="X69" s="420"/>
    </row>
    <row r="70" spans="2:24" ht="12.75" outlineLevel="1">
      <c r="B70" s="447" t="s">
        <v>234</v>
      </c>
      <c r="C70" s="447"/>
      <c r="D70" s="447"/>
      <c r="E70" s="46"/>
      <c r="F70" s="53"/>
      <c r="G70" s="47"/>
      <c r="H70" s="404">
        <f>O70+P70</f>
        <v>75202176.36363634</v>
      </c>
      <c r="I70" s="404">
        <f>R70+S70</f>
        <v>0</v>
      </c>
      <c r="J70" s="46">
        <v>296</v>
      </c>
      <c r="K70" s="404">
        <f>SUM(U70:X70)</f>
        <v>0</v>
      </c>
      <c r="L70" s="47"/>
      <c r="M70" s="404">
        <f>SUM(E70:L70)</f>
        <v>75202472.36363634</v>
      </c>
      <c r="N70" s="48"/>
      <c r="O70" s="413">
        <v>75202176.36363634</v>
      </c>
      <c r="P70" s="413"/>
      <c r="Q70" s="48"/>
      <c r="R70" s="413"/>
      <c r="S70" s="413"/>
      <c r="T70" s="48"/>
      <c r="U70" s="425"/>
      <c r="V70" s="420"/>
      <c r="W70" s="420">
        <v>0</v>
      </c>
      <c r="X70" s="420"/>
    </row>
    <row r="71" spans="2:24" ht="12.75" outlineLevel="1">
      <c r="B71" s="447" t="s">
        <v>275</v>
      </c>
      <c r="C71" s="447"/>
      <c r="D71" s="447"/>
      <c r="E71" s="52"/>
      <c r="F71" s="52"/>
      <c r="G71" s="50"/>
      <c r="H71" s="48"/>
      <c r="I71" s="48"/>
      <c r="J71" s="52"/>
      <c r="K71" s="48"/>
      <c r="L71" s="50"/>
      <c r="M71" s="48"/>
      <c r="N71" s="48"/>
      <c r="O71" s="414"/>
      <c r="P71" s="414"/>
      <c r="Q71" s="48"/>
      <c r="R71" s="414"/>
      <c r="S71" s="414"/>
      <c r="T71" s="48"/>
      <c r="U71" s="423"/>
      <c r="V71" s="423"/>
      <c r="W71" s="423"/>
      <c r="X71" s="423"/>
    </row>
    <row r="72" spans="2:24" ht="12.75" outlineLevel="1">
      <c r="B72" s="448" t="s">
        <v>243</v>
      </c>
      <c r="C72" s="447"/>
      <c r="D72" s="447"/>
      <c r="E72" s="49"/>
      <c r="F72" s="49"/>
      <c r="G72" s="50"/>
      <c r="H72" s="48"/>
      <c r="I72" s="48"/>
      <c r="J72" s="49"/>
      <c r="K72" s="48"/>
      <c r="L72" s="50"/>
      <c r="M72" s="48"/>
      <c r="N72" s="48"/>
      <c r="O72" s="414"/>
      <c r="P72" s="414"/>
      <c r="Q72" s="48"/>
      <c r="R72" s="414"/>
      <c r="S72" s="414"/>
      <c r="T72" s="48"/>
      <c r="U72" s="421"/>
      <c r="V72" s="421"/>
      <c r="W72" s="421"/>
      <c r="X72" s="421"/>
    </row>
    <row r="73" spans="2:24" ht="12.75" outlineLevel="1">
      <c r="B73" s="447" t="s">
        <v>230</v>
      </c>
      <c r="C73" s="447"/>
      <c r="D73" s="447"/>
      <c r="E73" s="53">
        <v>31</v>
      </c>
      <c r="F73" s="53">
        <v>315.25</v>
      </c>
      <c r="G73" s="47">
        <v>593.1092539893835</v>
      </c>
      <c r="H73" s="404">
        <f>O73+P73</f>
        <v>8152.133836322405</v>
      </c>
      <c r="I73" s="404">
        <f>R73+S73</f>
        <v>7471.463999686416</v>
      </c>
      <c r="J73" s="53">
        <v>19</v>
      </c>
      <c r="K73" s="404">
        <f>SUM(U73:X73)</f>
        <v>2059.5079365079364</v>
      </c>
      <c r="L73" s="47">
        <v>124.14865648945658</v>
      </c>
      <c r="M73" s="404">
        <f>SUM(E73:L73)</f>
        <v>18765.613682995598</v>
      </c>
      <c r="N73" s="48"/>
      <c r="O73" s="413">
        <v>8044.133836322405</v>
      </c>
      <c r="P73" s="413">
        <v>108</v>
      </c>
      <c r="Q73" s="48"/>
      <c r="R73" s="413">
        <v>7471.463999686416</v>
      </c>
      <c r="S73" s="413"/>
      <c r="T73" s="48"/>
      <c r="U73" s="415"/>
      <c r="V73" s="424">
        <v>1089.5147392290248</v>
      </c>
      <c r="W73" s="424">
        <v>946.9931972789116</v>
      </c>
      <c r="X73" s="424">
        <v>23</v>
      </c>
    </row>
    <row r="74" spans="2:24" ht="12.75" outlineLevel="1">
      <c r="B74" s="447" t="s">
        <v>242</v>
      </c>
      <c r="C74" s="447"/>
      <c r="D74" s="447"/>
      <c r="E74" s="53">
        <v>27406</v>
      </c>
      <c r="F74" s="53">
        <v>163038.25</v>
      </c>
      <c r="G74" s="47">
        <f>2042916.20845034/12</f>
        <v>170243.01737086166</v>
      </c>
      <c r="H74" s="404">
        <f>O74+P74</f>
        <v>2691032.9661647147</v>
      </c>
      <c r="I74" s="404">
        <f>R74+S74</f>
        <v>3029242.1571575454</v>
      </c>
      <c r="J74" s="53">
        <v>22331.916666666668</v>
      </c>
      <c r="K74" s="404">
        <f>SUM(U74:X74)</f>
        <v>1784012.5864017145</v>
      </c>
      <c r="L74" s="47">
        <v>134688.87522740022</v>
      </c>
      <c r="M74" s="404">
        <f>SUM(E74:L74)</f>
        <v>8021995.768988903</v>
      </c>
      <c r="N74" s="48"/>
      <c r="O74" s="413">
        <v>2642725.9661647147</v>
      </c>
      <c r="P74" s="413">
        <v>48307</v>
      </c>
      <c r="Q74" s="48"/>
      <c r="R74" s="413">
        <v>3029242.1571575454</v>
      </c>
      <c r="S74" s="413"/>
      <c r="T74" s="48"/>
      <c r="U74" s="415"/>
      <c r="V74" s="424">
        <v>1184925.988700565</v>
      </c>
      <c r="W74" s="424">
        <v>582979.5977011495</v>
      </c>
      <c r="X74" s="424">
        <v>16107</v>
      </c>
    </row>
    <row r="75" spans="2:24" ht="12.75" outlineLevel="1">
      <c r="B75" s="447" t="s">
        <v>232</v>
      </c>
      <c r="C75" s="447"/>
      <c r="D75" s="447"/>
      <c r="E75" s="53">
        <v>274359</v>
      </c>
      <c r="F75" s="53">
        <v>1342584.2</v>
      </c>
      <c r="G75" s="47">
        <v>1531397.605030906</v>
      </c>
      <c r="H75" s="404">
        <f>O75+P75</f>
        <v>24479362.9313544</v>
      </c>
      <c r="I75" s="404">
        <f>R75+S75</f>
        <v>25849629.50586204</v>
      </c>
      <c r="J75" s="53">
        <v>218273</v>
      </c>
      <c r="K75" s="404">
        <f>SUM(U75:X75)</f>
        <v>13458539.682625066</v>
      </c>
      <c r="L75" s="47">
        <v>1101312.976375464</v>
      </c>
      <c r="M75" s="404">
        <f>SUM(E75:L75)</f>
        <v>68255458.90124787</v>
      </c>
      <c r="N75" s="48"/>
      <c r="O75" s="413">
        <v>23998666.9313544</v>
      </c>
      <c r="P75" s="413">
        <v>480696</v>
      </c>
      <c r="Q75" s="48"/>
      <c r="R75" s="413">
        <v>25849629.50586204</v>
      </c>
      <c r="S75" s="413"/>
      <c r="T75" s="48"/>
      <c r="U75" s="415"/>
      <c r="V75" s="424">
        <v>8490600.591715977</v>
      </c>
      <c r="W75" s="424">
        <v>4870559.090909091</v>
      </c>
      <c r="X75" s="424">
        <v>97380</v>
      </c>
    </row>
    <row r="76" spans="2:24" ht="12.75" outlineLevel="1">
      <c r="B76" s="447" t="s">
        <v>233</v>
      </c>
      <c r="C76" s="447"/>
      <c r="D76" s="447"/>
      <c r="E76" s="53">
        <v>99246802</v>
      </c>
      <c r="F76" s="53">
        <v>439948595.29999995</v>
      </c>
      <c r="G76" s="47">
        <v>552429592.0526769</v>
      </c>
      <c r="H76" s="404">
        <f>O76+P76</f>
        <v>7673394276.090908</v>
      </c>
      <c r="I76" s="404">
        <f>R76+S76</f>
        <v>8290932321.064467</v>
      </c>
      <c r="J76" s="53">
        <v>80215075</v>
      </c>
      <c r="K76" s="404">
        <f>SUM(U76:X76)</f>
        <v>4646872337.728938</v>
      </c>
      <c r="L76" s="47">
        <v>314965717.6974478</v>
      </c>
      <c r="M76" s="404">
        <f>SUM(E76:L76)</f>
        <v>22098004716.93444</v>
      </c>
      <c r="N76" s="48"/>
      <c r="O76" s="413">
        <v>7513598349.090908</v>
      </c>
      <c r="P76" s="413">
        <v>159795927</v>
      </c>
      <c r="Q76" s="48"/>
      <c r="R76" s="413">
        <v>8290932321.064467</v>
      </c>
      <c r="S76" s="413"/>
      <c r="T76" s="48"/>
      <c r="U76" s="415"/>
      <c r="V76" s="424">
        <v>2940447211.5384617</v>
      </c>
      <c r="W76" s="424">
        <v>1678542976.1904762</v>
      </c>
      <c r="X76" s="424">
        <v>27882150</v>
      </c>
    </row>
    <row r="77" spans="2:24" ht="12.75" outlineLevel="1">
      <c r="B77" s="447" t="s">
        <v>234</v>
      </c>
      <c r="C77" s="447"/>
      <c r="D77" s="447"/>
      <c r="E77" s="53">
        <v>2059440</v>
      </c>
      <c r="F77" s="53"/>
      <c r="G77" s="47">
        <v>8233301.574021314</v>
      </c>
      <c r="H77" s="404">
        <f>O77+P77</f>
        <v>275567169.3636363</v>
      </c>
      <c r="I77" s="404">
        <f>R77+S77</f>
        <v>6011116.256519199</v>
      </c>
      <c r="J77" s="53">
        <v>2608404</v>
      </c>
      <c r="K77" s="404">
        <f>SUM(U77:X77)</f>
        <v>81780196.07843137</v>
      </c>
      <c r="L77" s="47"/>
      <c r="M77" s="404">
        <f>SUM(E77:L77)</f>
        <v>376259627.2726082</v>
      </c>
      <c r="N77" s="48"/>
      <c r="O77" s="413">
        <v>271079616.3636363</v>
      </c>
      <c r="P77" s="413">
        <v>4487553</v>
      </c>
      <c r="Q77" s="48"/>
      <c r="R77" s="413">
        <v>6011116.256519199</v>
      </c>
      <c r="S77" s="413"/>
      <c r="T77" s="48"/>
      <c r="U77" s="415"/>
      <c r="V77" s="424">
        <v>40597352.94117647</v>
      </c>
      <c r="W77" s="424">
        <v>41182843.1372549</v>
      </c>
      <c r="X77" s="424"/>
    </row>
    <row r="78" spans="2:24" ht="12.75" outlineLevel="1">
      <c r="B78" s="447" t="s">
        <v>275</v>
      </c>
      <c r="C78" s="447"/>
      <c r="D78" s="447"/>
      <c r="E78" s="49"/>
      <c r="F78" s="49"/>
      <c r="G78" s="50"/>
      <c r="H78" s="48"/>
      <c r="I78" s="48"/>
      <c r="J78" s="49"/>
      <c r="K78" s="48"/>
      <c r="L78" s="50"/>
      <c r="M78" s="48"/>
      <c r="N78" s="48"/>
      <c r="O78" s="414"/>
      <c r="P78" s="414"/>
      <c r="Q78" s="48"/>
      <c r="R78" s="414"/>
      <c r="S78" s="414"/>
      <c r="T78" s="48"/>
      <c r="U78" s="421"/>
      <c r="V78" s="421"/>
      <c r="W78" s="421"/>
      <c r="X78" s="421"/>
    </row>
    <row r="79" spans="2:24" ht="12.75" outlineLevel="1">
      <c r="B79" s="448" t="s">
        <v>244</v>
      </c>
      <c r="C79" s="447"/>
      <c r="D79" s="447"/>
      <c r="E79" s="49"/>
      <c r="F79" s="49"/>
      <c r="G79" s="50"/>
      <c r="H79" s="48"/>
      <c r="I79" s="48"/>
      <c r="J79" s="49"/>
      <c r="K79" s="48"/>
      <c r="L79" s="50"/>
      <c r="M79" s="48"/>
      <c r="N79" s="48"/>
      <c r="O79" s="414"/>
      <c r="P79" s="414"/>
      <c r="Q79" s="48"/>
      <c r="R79" s="414"/>
      <c r="S79" s="414"/>
      <c r="T79" s="48"/>
      <c r="U79" s="421"/>
      <c r="V79" s="421"/>
      <c r="W79" s="421"/>
      <c r="X79" s="421"/>
    </row>
    <row r="80" spans="2:24" ht="12.75" outlineLevel="1">
      <c r="B80" s="447" t="s">
        <v>230</v>
      </c>
      <c r="C80" s="447"/>
      <c r="D80" s="447"/>
      <c r="E80" s="53">
        <v>189</v>
      </c>
      <c r="F80" s="53">
        <v>1227.1666666666667</v>
      </c>
      <c r="G80" s="47">
        <v>755.0271222970613</v>
      </c>
      <c r="H80" s="404">
        <f>O80+P80</f>
        <v>13875.097274788704</v>
      </c>
      <c r="I80" s="404">
        <f>R80+S80</f>
        <v>13559.465422288691</v>
      </c>
      <c r="J80" s="53">
        <v>127.5</v>
      </c>
      <c r="K80" s="404">
        <f>SUM(U80:X80)</f>
        <v>7355.700680272108</v>
      </c>
      <c r="L80" s="47">
        <v>1234.7275149812124</v>
      </c>
      <c r="M80" s="404">
        <f>SUM(E80:L80)</f>
        <v>38323.68468129444</v>
      </c>
      <c r="N80" s="48"/>
      <c r="O80" s="413">
        <v>13596.097274788704</v>
      </c>
      <c r="P80" s="413">
        <v>279</v>
      </c>
      <c r="Q80" s="48"/>
      <c r="R80" s="413">
        <v>13559.465422288691</v>
      </c>
      <c r="S80" s="413"/>
      <c r="T80" s="48"/>
      <c r="U80" s="415"/>
      <c r="V80" s="424">
        <v>3298.1814058956916</v>
      </c>
      <c r="W80" s="424">
        <v>3905.519274376417</v>
      </c>
      <c r="X80" s="424">
        <v>152</v>
      </c>
    </row>
    <row r="81" spans="2:24" ht="12.75" outlineLevel="1">
      <c r="B81" s="447" t="s">
        <v>242</v>
      </c>
      <c r="C81" s="447"/>
      <c r="D81" s="447"/>
      <c r="E81" s="53">
        <v>36884</v>
      </c>
      <c r="F81" s="53">
        <v>117252.25</v>
      </c>
      <c r="G81" s="47">
        <f>444790.381591163/12</f>
        <v>37065.86513259692</v>
      </c>
      <c r="H81" s="404">
        <f>O81+P81</f>
        <v>1001458.4281879193</v>
      </c>
      <c r="I81" s="404">
        <f>R81+S81</f>
        <v>1244157.8635049441</v>
      </c>
      <c r="J81" s="53">
        <v>20380.166666666668</v>
      </c>
      <c r="K81" s="404">
        <f>SUM(U81:X81)</f>
        <v>844498.1324289405</v>
      </c>
      <c r="L81" s="47">
        <v>286608.8256281273</v>
      </c>
      <c r="M81" s="404">
        <f>SUM(E81:L81)</f>
        <v>3588305.531549195</v>
      </c>
      <c r="N81" s="48"/>
      <c r="O81" s="413">
        <v>975505.4281879193</v>
      </c>
      <c r="P81" s="413">
        <v>25953</v>
      </c>
      <c r="Q81" s="48"/>
      <c r="R81" s="413">
        <v>1244157.8635049441</v>
      </c>
      <c r="S81" s="413"/>
      <c r="T81" s="48"/>
      <c r="U81" s="415"/>
      <c r="V81" s="424">
        <v>449638.0490956072</v>
      </c>
      <c r="W81" s="424">
        <v>359977.0833333333</v>
      </c>
      <c r="X81" s="424">
        <v>34883</v>
      </c>
    </row>
    <row r="82" spans="2:24" ht="12.75" outlineLevel="1">
      <c r="B82" s="447" t="s">
        <v>232</v>
      </c>
      <c r="C82" s="447"/>
      <c r="D82" s="447"/>
      <c r="E82" s="53">
        <v>343533</v>
      </c>
      <c r="F82" s="53">
        <v>949240</v>
      </c>
      <c r="G82" s="47">
        <v>271896.2500415578</v>
      </c>
      <c r="H82" s="404">
        <f>O82+P82</f>
        <v>8069353.959183672</v>
      </c>
      <c r="I82" s="404">
        <f>R82+S82</f>
        <v>9606120.00190151</v>
      </c>
      <c r="J82" s="53">
        <v>192959</v>
      </c>
      <c r="K82" s="404">
        <f>SUM(U82:X82)</f>
        <v>5953177.367043214</v>
      </c>
      <c r="L82" s="47">
        <v>2111305.541156277</v>
      </c>
      <c r="M82" s="404">
        <f>SUM(E82:L82)</f>
        <v>27497585.119326226</v>
      </c>
      <c r="N82" s="48"/>
      <c r="O82" s="413">
        <v>7854745.959183672</v>
      </c>
      <c r="P82" s="413">
        <v>214608</v>
      </c>
      <c r="Q82" s="48"/>
      <c r="R82" s="413">
        <v>9606120.00190151</v>
      </c>
      <c r="S82" s="413"/>
      <c r="T82" s="48"/>
      <c r="U82" s="415"/>
      <c r="V82" s="424">
        <v>2980413.609467456</v>
      </c>
      <c r="W82" s="424">
        <v>2767875.7575757573</v>
      </c>
      <c r="X82" s="424">
        <v>204888</v>
      </c>
    </row>
    <row r="83" spans="2:24" ht="12.75" outlineLevel="1">
      <c r="B83" s="447" t="s">
        <v>233</v>
      </c>
      <c r="C83" s="447"/>
      <c r="D83" s="447"/>
      <c r="E83" s="53">
        <v>95770032</v>
      </c>
      <c r="F83" s="53">
        <v>253035750.8</v>
      </c>
      <c r="G83" s="47">
        <v>72247391.8932347</v>
      </c>
      <c r="H83" s="404">
        <f>O83+P83</f>
        <v>2174199787.1764703</v>
      </c>
      <c r="I83" s="404">
        <f>R83+S83</f>
        <v>2550767257.1899257</v>
      </c>
      <c r="J83" s="53">
        <v>51341646</v>
      </c>
      <c r="K83" s="404">
        <f>SUM(U83:X83)</f>
        <v>1682140123.2490845</v>
      </c>
      <c r="L83" s="47">
        <v>557775692.8716384</v>
      </c>
      <c r="M83" s="404">
        <f>SUM(E83:L83)</f>
        <v>7437277681.180354</v>
      </c>
      <c r="N83" s="48"/>
      <c r="O83" s="413">
        <v>2114867341.1764703</v>
      </c>
      <c r="P83" s="413">
        <v>59332446</v>
      </c>
      <c r="Q83" s="48"/>
      <c r="R83" s="413">
        <v>2550767257.1899257</v>
      </c>
      <c r="S83" s="413"/>
      <c r="T83" s="48"/>
      <c r="U83" s="415"/>
      <c r="V83" s="424">
        <v>845967596.1538461</v>
      </c>
      <c r="W83" s="424">
        <v>778992738.0952382</v>
      </c>
      <c r="X83" s="424">
        <v>57179789</v>
      </c>
    </row>
    <row r="84" spans="2:24" ht="12.75" outlineLevel="1">
      <c r="B84" s="447" t="s">
        <v>234</v>
      </c>
      <c r="C84" s="447"/>
      <c r="D84" s="447"/>
      <c r="E84" s="53">
        <v>1509207</v>
      </c>
      <c r="F84" s="53"/>
      <c r="G84" s="47">
        <v>154174.96908329273</v>
      </c>
      <c r="H84" s="404">
        <f>O84+P84</f>
        <v>40773203.81818183</v>
      </c>
      <c r="I84" s="404">
        <f>R84+S84</f>
        <v>0</v>
      </c>
      <c r="J84" s="53">
        <v>1021367</v>
      </c>
      <c r="K84" s="404">
        <f>SUM(U84:X84)</f>
        <v>19404705.88235294</v>
      </c>
      <c r="L84" s="47"/>
      <c r="M84" s="404">
        <f>SUM(E84:L84)</f>
        <v>62862658.66961806</v>
      </c>
      <c r="N84" s="48"/>
      <c r="O84" s="413">
        <v>39146021.81818183</v>
      </c>
      <c r="P84" s="413">
        <v>1627182</v>
      </c>
      <c r="Q84" s="48"/>
      <c r="R84" s="413"/>
      <c r="S84" s="413"/>
      <c r="T84" s="48"/>
      <c r="U84" s="415"/>
      <c r="V84" s="424">
        <v>3533627.450980392</v>
      </c>
      <c r="W84" s="424">
        <v>15871078.431372548</v>
      </c>
      <c r="X84" s="424"/>
    </row>
    <row r="85" spans="2:24" ht="12.75" outlineLevel="1">
      <c r="B85" s="447" t="s">
        <v>275</v>
      </c>
      <c r="C85" s="447"/>
      <c r="D85" s="447"/>
      <c r="E85" s="49"/>
      <c r="F85" s="49"/>
      <c r="G85" s="50"/>
      <c r="H85" s="48"/>
      <c r="I85" s="48"/>
      <c r="J85" s="49"/>
      <c r="K85" s="48"/>
      <c r="L85" s="50"/>
      <c r="M85" s="48"/>
      <c r="N85" s="48"/>
      <c r="O85" s="414"/>
      <c r="P85" s="414"/>
      <c r="Q85" s="48"/>
      <c r="R85" s="414"/>
      <c r="S85" s="414"/>
      <c r="T85" s="48"/>
      <c r="U85" s="421"/>
      <c r="V85" s="421"/>
      <c r="W85" s="421"/>
      <c r="X85" s="421"/>
    </row>
    <row r="86" spans="2:24" ht="12.75" outlineLevel="1">
      <c r="B86" s="448" t="s">
        <v>245</v>
      </c>
      <c r="C86" s="447"/>
      <c r="D86" s="447"/>
      <c r="E86" s="49"/>
      <c r="F86" s="49"/>
      <c r="G86" s="50"/>
      <c r="H86" s="48"/>
      <c r="I86" s="48"/>
      <c r="J86" s="49"/>
      <c r="K86" s="48"/>
      <c r="L86" s="50"/>
      <c r="M86" s="48"/>
      <c r="N86" s="48"/>
      <c r="O86" s="414"/>
      <c r="P86" s="414"/>
      <c r="Q86" s="48"/>
      <c r="R86" s="414"/>
      <c r="S86" s="414"/>
      <c r="T86" s="48"/>
      <c r="U86" s="421"/>
      <c r="V86" s="421"/>
      <c r="W86" s="421"/>
      <c r="X86" s="421"/>
    </row>
    <row r="87" spans="2:24" ht="12.75" outlineLevel="1">
      <c r="B87" s="447" t="s">
        <v>230</v>
      </c>
      <c r="C87" s="447"/>
      <c r="D87" s="447"/>
      <c r="E87" s="54">
        <v>307</v>
      </c>
      <c r="F87" s="53">
        <v>452</v>
      </c>
      <c r="G87" s="47"/>
      <c r="H87" s="404">
        <f>O87+P87</f>
        <v>3762.6042424242423</v>
      </c>
      <c r="I87" s="404">
        <f>R87+S87</f>
        <v>6205.047002888674</v>
      </c>
      <c r="J87" s="53">
        <v>87.8</v>
      </c>
      <c r="K87" s="404">
        <f>SUM(U87:X87)</f>
        <v>15650.888888888887</v>
      </c>
      <c r="L87" s="47">
        <v>138.20678770560357</v>
      </c>
      <c r="M87" s="404">
        <f>SUM(E87:L87)</f>
        <v>26603.546921907408</v>
      </c>
      <c r="N87" s="48"/>
      <c r="O87" s="413">
        <v>3762.6042424242423</v>
      </c>
      <c r="P87" s="413"/>
      <c r="Q87" s="48"/>
      <c r="R87" s="413">
        <v>6205.047002888674</v>
      </c>
      <c r="S87" s="413"/>
      <c r="T87" s="48"/>
      <c r="U87" s="415"/>
      <c r="V87" s="424">
        <v>7237.61111111111</v>
      </c>
      <c r="W87" s="424">
        <v>8258.277777777777</v>
      </c>
      <c r="X87" s="424">
        <v>155</v>
      </c>
    </row>
    <row r="88" spans="2:24" ht="12.75" outlineLevel="1">
      <c r="B88" s="447" t="s">
        <v>242</v>
      </c>
      <c r="C88" s="447"/>
      <c r="D88" s="447"/>
      <c r="E88" s="54">
        <v>23466</v>
      </c>
      <c r="F88" s="53">
        <v>22460</v>
      </c>
      <c r="G88" s="47"/>
      <c r="H88" s="404">
        <f>O88+P88</f>
        <v>91165.26094957672</v>
      </c>
      <c r="I88" s="404">
        <f>R88+S88</f>
        <v>232486.42784652006</v>
      </c>
      <c r="J88" s="53">
        <v>5437.75</v>
      </c>
      <c r="K88" s="404">
        <f>SUM(U88:X88)</f>
        <v>911695.8828828827</v>
      </c>
      <c r="L88" s="47">
        <v>22424.59495861271</v>
      </c>
      <c r="M88" s="404">
        <f>SUM(E88:L88)</f>
        <v>1309135.9166375923</v>
      </c>
      <c r="N88" s="48"/>
      <c r="O88" s="413">
        <v>91165.26094957672</v>
      </c>
      <c r="P88" s="413"/>
      <c r="Q88" s="48"/>
      <c r="R88" s="413">
        <v>232486.42784652006</v>
      </c>
      <c r="S88" s="413"/>
      <c r="T88" s="48"/>
      <c r="U88" s="415"/>
      <c r="V88" s="424">
        <v>878001.5765765765</v>
      </c>
      <c r="W88" s="424">
        <v>18981.306306306305</v>
      </c>
      <c r="X88" s="424">
        <v>14713</v>
      </c>
    </row>
    <row r="89" spans="2:24" ht="12.75" outlineLevel="1">
      <c r="B89" s="447" t="s">
        <v>246</v>
      </c>
      <c r="C89" s="447"/>
      <c r="D89" s="447"/>
      <c r="E89" s="54">
        <v>15955565</v>
      </c>
      <c r="F89" s="53">
        <v>8221796</v>
      </c>
      <c r="G89" s="47"/>
      <c r="H89" s="404">
        <f>O89+P89</f>
        <v>70996576.92307693</v>
      </c>
      <c r="I89" s="404">
        <f>R89+S89</f>
        <v>168146152.7017957</v>
      </c>
      <c r="J89" s="53">
        <v>4904362</v>
      </c>
      <c r="K89" s="404">
        <f>SUM(U89:X89)</f>
        <v>621859274.1731215</v>
      </c>
      <c r="L89" s="47">
        <v>6139185.238235198</v>
      </c>
      <c r="M89" s="404">
        <f>SUM(E89:L89)</f>
        <v>896222912.0362294</v>
      </c>
      <c r="N89" s="48"/>
      <c r="O89" s="413">
        <v>70996576.92307693</v>
      </c>
      <c r="P89" s="413"/>
      <c r="Q89" s="48"/>
      <c r="R89" s="413">
        <v>157710186.98805785</v>
      </c>
      <c r="S89" s="413">
        <v>10435965.713737857</v>
      </c>
      <c r="T89" s="48"/>
      <c r="U89" s="415"/>
      <c r="V89" s="424">
        <v>598440955.0561798</v>
      </c>
      <c r="W89" s="424">
        <v>17337700.11694174</v>
      </c>
      <c r="X89" s="424">
        <v>6080619</v>
      </c>
    </row>
    <row r="90" spans="2:24" ht="12.75" outlineLevel="1">
      <c r="B90" s="447" t="s">
        <v>233</v>
      </c>
      <c r="C90" s="447"/>
      <c r="D90" s="447"/>
      <c r="E90" s="54">
        <v>32687208</v>
      </c>
      <c r="F90" s="53">
        <v>15989867.466666667</v>
      </c>
      <c r="G90" s="47"/>
      <c r="H90" s="404">
        <f>O90+P90</f>
        <v>106841993.3110368</v>
      </c>
      <c r="I90" s="404">
        <f>R90+S90</f>
        <v>265824582.64424253</v>
      </c>
      <c r="J90" s="53">
        <v>9112678</v>
      </c>
      <c r="K90" s="404">
        <f>SUM(U90:X90)</f>
        <v>988489442.97208</v>
      </c>
      <c r="L90" s="47">
        <v>7890424.120565626</v>
      </c>
      <c r="M90" s="404">
        <f>SUM(E90:L90)</f>
        <v>1426836196.5145917</v>
      </c>
      <c r="N90" s="48"/>
      <c r="O90" s="413">
        <v>106841993.3110368</v>
      </c>
      <c r="P90" s="413"/>
      <c r="Q90" s="48"/>
      <c r="R90" s="413">
        <v>251651524.92596</v>
      </c>
      <c r="S90" s="413">
        <v>14173057.718282532</v>
      </c>
      <c r="T90" s="48"/>
      <c r="U90" s="415"/>
      <c r="V90" s="424">
        <v>950862016.8067225</v>
      </c>
      <c r="W90" s="424">
        <v>25298420.165357523</v>
      </c>
      <c r="X90" s="424">
        <v>12329006</v>
      </c>
    </row>
    <row r="91" spans="2:24" ht="12.75" outlineLevel="1">
      <c r="B91" s="447" t="s">
        <v>234</v>
      </c>
      <c r="C91" s="447"/>
      <c r="D91" s="447"/>
      <c r="E91" s="54">
        <v>812096</v>
      </c>
      <c r="F91" s="53"/>
      <c r="G91" s="47"/>
      <c r="H91" s="404">
        <f>O91+P91</f>
        <v>0</v>
      </c>
      <c r="I91" s="404">
        <f>R91+S91</f>
        <v>0</v>
      </c>
      <c r="J91" s="53">
        <v>230229</v>
      </c>
      <c r="K91" s="404">
        <f>SUM(U91:X91)</f>
        <v>19147941.17647059</v>
      </c>
      <c r="L91" s="47"/>
      <c r="M91" s="404">
        <f>SUM(E91:L91)</f>
        <v>20190266.17647059</v>
      </c>
      <c r="N91" s="48"/>
      <c r="O91" s="413"/>
      <c r="P91" s="413"/>
      <c r="Q91" s="48"/>
      <c r="R91" s="413"/>
      <c r="S91" s="413"/>
      <c r="T91" s="48"/>
      <c r="U91" s="415"/>
      <c r="V91" s="424">
        <v>17658431.37254902</v>
      </c>
      <c r="W91" s="424">
        <v>1489509.8039215684</v>
      </c>
      <c r="X91" s="424"/>
    </row>
    <row r="92" spans="2:24" ht="12.75" outlineLevel="1">
      <c r="B92" s="447" t="s">
        <v>275</v>
      </c>
      <c r="C92" s="447"/>
      <c r="D92" s="447"/>
      <c r="E92" s="49"/>
      <c r="F92" s="49"/>
      <c r="G92" s="50"/>
      <c r="H92" s="48"/>
      <c r="I92" s="48"/>
      <c r="J92" s="49"/>
      <c r="K92" s="48"/>
      <c r="L92" s="50"/>
      <c r="M92" s="48"/>
      <c r="N92" s="48"/>
      <c r="O92" s="414"/>
      <c r="P92" s="414"/>
      <c r="Q92" s="48"/>
      <c r="R92" s="414"/>
      <c r="S92" s="414"/>
      <c r="T92" s="48"/>
      <c r="U92" s="421"/>
      <c r="V92" s="421"/>
      <c r="W92" s="421"/>
      <c r="X92" s="421"/>
    </row>
    <row r="93" spans="2:24" ht="12.75" outlineLevel="1">
      <c r="B93" s="448" t="s">
        <v>247</v>
      </c>
      <c r="C93" s="454"/>
      <c r="D93" s="454"/>
      <c r="E93" s="49"/>
      <c r="F93" s="49"/>
      <c r="G93" s="50"/>
      <c r="H93" s="48"/>
      <c r="I93" s="48"/>
      <c r="J93" s="49"/>
      <c r="K93" s="48"/>
      <c r="L93" s="50"/>
      <c r="M93" s="48"/>
      <c r="N93" s="48"/>
      <c r="O93" s="414"/>
      <c r="P93" s="414"/>
      <c r="Q93" s="48"/>
      <c r="R93" s="414"/>
      <c r="S93" s="414"/>
      <c r="T93" s="48"/>
      <c r="U93" s="421"/>
      <c r="V93" s="421"/>
      <c r="W93" s="421"/>
      <c r="X93" s="421"/>
    </row>
    <row r="94" spans="2:24" ht="12.75" outlineLevel="1">
      <c r="B94" s="447" t="s">
        <v>230</v>
      </c>
      <c r="C94" s="454"/>
      <c r="D94" s="454"/>
      <c r="E94" s="54">
        <v>1056</v>
      </c>
      <c r="F94" s="53">
        <f>5670.15333333333+930.148148148148</f>
        <v>6600.301481481478</v>
      </c>
      <c r="G94" s="47">
        <v>719.8804083404822</v>
      </c>
      <c r="H94" s="404">
        <f>O94+P94</f>
        <v>79041.91974451997</v>
      </c>
      <c r="I94" s="404">
        <f>R94+S94</f>
        <v>72229.69834513013</v>
      </c>
      <c r="J94" s="53">
        <v>1251.5</v>
      </c>
      <c r="K94" s="404">
        <f>SUM(U94:X94)</f>
        <v>60310.00000000001</v>
      </c>
      <c r="L94" s="47">
        <f>4358.39784373657+375</f>
        <v>4733.39784373657</v>
      </c>
      <c r="M94" s="404">
        <f>SUM(E94:L94)</f>
        <v>225942.69782320864</v>
      </c>
      <c r="N94" s="48"/>
      <c r="O94" s="413">
        <v>77853.91974451997</v>
      </c>
      <c r="P94" s="413">
        <v>1188</v>
      </c>
      <c r="Q94" s="48"/>
      <c r="R94" s="413">
        <v>72229.69834513013</v>
      </c>
      <c r="S94" s="413"/>
      <c r="T94" s="48"/>
      <c r="U94" s="415"/>
      <c r="V94" s="424">
        <v>44689.61111111112</v>
      </c>
      <c r="W94" s="424">
        <v>13964.388888888889</v>
      </c>
      <c r="X94" s="424">
        <v>1656</v>
      </c>
    </row>
    <row r="95" spans="2:24" ht="12.75" outlineLevel="1">
      <c r="B95" s="551" t="s">
        <v>242</v>
      </c>
      <c r="C95" s="454"/>
      <c r="D95" s="454"/>
      <c r="E95" s="61">
        <v>12901</v>
      </c>
      <c r="F95" s="60">
        <v>126237.27500000001</v>
      </c>
      <c r="G95" s="58">
        <f>251618.992521294/12</f>
        <v>20968.2493767745</v>
      </c>
      <c r="H95" s="402">
        <f>O95+P95</f>
        <v>2293885.322594608</v>
      </c>
      <c r="I95" s="402">
        <f>R95+S95</f>
        <v>2214496.6976255705</v>
      </c>
      <c r="J95" s="60">
        <v>14900</v>
      </c>
      <c r="K95" s="402">
        <f>SUM(U95:X95)</f>
        <v>1916779.7117117115</v>
      </c>
      <c r="L95" s="58">
        <f>127333.7473574+13913</f>
        <v>141246.74735740002</v>
      </c>
      <c r="M95" s="402">
        <f>SUM(E95:L95)</f>
        <v>6741415.003666065</v>
      </c>
      <c r="N95" s="48"/>
      <c r="O95" s="557">
        <v>2256923.322594608</v>
      </c>
      <c r="P95" s="557">
        <v>36962</v>
      </c>
      <c r="Q95" s="48"/>
      <c r="R95" s="557">
        <v>2214496.6976255705</v>
      </c>
      <c r="S95" s="557"/>
      <c r="T95" s="48"/>
      <c r="U95" s="415"/>
      <c r="V95" s="556">
        <v>1449069.8198198196</v>
      </c>
      <c r="W95" s="556">
        <v>420491.89189189184</v>
      </c>
      <c r="X95" s="556">
        <v>47218</v>
      </c>
    </row>
    <row r="96" spans="2:24" ht="12.75" outlineLevel="1">
      <c r="B96" s="551" t="s">
        <v>246</v>
      </c>
      <c r="C96" s="454"/>
      <c r="D96" s="454"/>
      <c r="E96" s="61">
        <v>13979541</v>
      </c>
      <c r="F96" s="60">
        <f>83868963.1056752+283029.973461392</f>
        <v>84151993.0791366</v>
      </c>
      <c r="G96" s="58">
        <v>11008954.27945119</v>
      </c>
      <c r="H96" s="402">
        <f>O96+P96</f>
        <v>1152671918.5687</v>
      </c>
      <c r="I96" s="402">
        <f>R96+S96</f>
        <v>962625491.2881567</v>
      </c>
      <c r="J96" s="60">
        <v>12820835</v>
      </c>
      <c r="K96" s="402">
        <f>SUM(U96:X96)</f>
        <v>654332844.7798568</v>
      </c>
      <c r="L96" s="58">
        <f>66205515.6536518+4058235</f>
        <v>70263750.6536518</v>
      </c>
      <c r="M96" s="402">
        <f>SUM(E96:L96)</f>
        <v>2961855328.648953</v>
      </c>
      <c r="N96" s="48"/>
      <c r="O96" s="557">
        <v>1132980411.5687</v>
      </c>
      <c r="P96" s="557">
        <v>19691507</v>
      </c>
      <c r="Q96" s="48"/>
      <c r="R96" s="557">
        <v>745035378.1769102</v>
      </c>
      <c r="S96" s="557">
        <v>217590113.11124665</v>
      </c>
      <c r="T96" s="48"/>
      <c r="U96" s="415"/>
      <c r="V96" s="556">
        <v>464713426.96629214</v>
      </c>
      <c r="W96" s="556">
        <v>175467593.81356466</v>
      </c>
      <c r="X96" s="556">
        <v>14151824</v>
      </c>
    </row>
    <row r="97" spans="2:24" ht="12.75" outlineLevel="1">
      <c r="B97" s="551" t="s">
        <v>233</v>
      </c>
      <c r="C97" s="454"/>
      <c r="D97" s="454"/>
      <c r="E97" s="61">
        <v>27223165</v>
      </c>
      <c r="F97" s="60">
        <f>105600835.453331+241099.777827598</f>
        <v>105841935.23115858</v>
      </c>
      <c r="G97" s="58">
        <v>10582665.400839666</v>
      </c>
      <c r="H97" s="402">
        <f>O97+P97</f>
        <v>1402524145.12683</v>
      </c>
      <c r="I97" s="402">
        <f>R97+S97</f>
        <v>1351737615.1050026</v>
      </c>
      <c r="J97" s="60">
        <v>24673817</v>
      </c>
      <c r="K97" s="402">
        <f>SUM(U97:X97)</f>
        <v>1013830971.7976358</v>
      </c>
      <c r="L97" s="58">
        <f>84744192.257001+2104270</f>
        <v>86848462.257001</v>
      </c>
      <c r="M97" s="402">
        <f>SUM(E97:L97)</f>
        <v>4023262776.9184675</v>
      </c>
      <c r="N97" s="48"/>
      <c r="O97" s="557">
        <v>1377435669.12683</v>
      </c>
      <c r="P97" s="557">
        <v>25088476</v>
      </c>
      <c r="Q97" s="48"/>
      <c r="R97" s="557">
        <v>1210791019.03473</v>
      </c>
      <c r="S97" s="557">
        <v>140946596.07027274</v>
      </c>
      <c r="T97" s="48"/>
      <c r="U97" s="415"/>
      <c r="V97" s="556">
        <v>731278403.3613445</v>
      </c>
      <c r="W97" s="556">
        <v>260621573.43629134</v>
      </c>
      <c r="X97" s="556">
        <v>21930995</v>
      </c>
    </row>
    <row r="98" spans="2:24" ht="12.75" outlineLevel="1">
      <c r="B98" s="447" t="s">
        <v>275</v>
      </c>
      <c r="C98" s="454"/>
      <c r="D98" s="454"/>
      <c r="E98" s="49"/>
      <c r="F98" s="49"/>
      <c r="G98" s="50"/>
      <c r="H98" s="48"/>
      <c r="I98" s="48"/>
      <c r="J98" s="49"/>
      <c r="K98" s="48"/>
      <c r="L98" s="50"/>
      <c r="M98" s="48"/>
      <c r="N98" s="48"/>
      <c r="O98" s="414"/>
      <c r="P98" s="414"/>
      <c r="Q98" s="48"/>
      <c r="R98" s="414"/>
      <c r="S98" s="414"/>
      <c r="T98" s="48"/>
      <c r="U98" s="421"/>
      <c r="V98" s="421"/>
      <c r="W98" s="421"/>
      <c r="X98" s="421"/>
    </row>
    <row r="99" spans="2:24" ht="12.75" outlineLevel="1">
      <c r="B99" s="448" t="s">
        <v>248</v>
      </c>
      <c r="C99" s="454"/>
      <c r="D99" s="454"/>
      <c r="E99" s="49"/>
      <c r="F99" s="49"/>
      <c r="G99" s="50"/>
      <c r="H99" s="48"/>
      <c r="I99" s="48"/>
      <c r="J99" s="49"/>
      <c r="K99" s="48"/>
      <c r="L99" s="50"/>
      <c r="M99" s="48"/>
      <c r="N99" s="48"/>
      <c r="O99" s="414"/>
      <c r="P99" s="414"/>
      <c r="Q99" s="48"/>
      <c r="R99" s="414"/>
      <c r="S99" s="414"/>
      <c r="T99" s="48"/>
      <c r="U99" s="421"/>
      <c r="V99" s="421"/>
      <c r="W99" s="421"/>
      <c r="X99" s="421"/>
    </row>
    <row r="100" spans="2:24" ht="12.75" outlineLevel="1">
      <c r="B100" s="447" t="s">
        <v>230</v>
      </c>
      <c r="C100" s="454"/>
      <c r="D100" s="454"/>
      <c r="E100" s="53">
        <v>514</v>
      </c>
      <c r="F100" s="53">
        <v>2001.5725</v>
      </c>
      <c r="G100" s="47">
        <v>2261.5815643671017</v>
      </c>
      <c r="H100" s="404">
        <f>O100+P100</f>
        <v>31642.003652009218</v>
      </c>
      <c r="I100" s="404">
        <f>R100+S100</f>
        <v>42061.223428813886</v>
      </c>
      <c r="J100" s="53"/>
      <c r="K100" s="404">
        <f>SUM(U100:X100)</f>
        <v>8814.777777777776</v>
      </c>
      <c r="L100" s="47"/>
      <c r="M100" s="404">
        <f>SUM(E100:L100)</f>
        <v>87295.158922968</v>
      </c>
      <c r="N100" s="48"/>
      <c r="O100" s="413">
        <v>31250.003652009218</v>
      </c>
      <c r="P100" s="413">
        <v>392</v>
      </c>
      <c r="Q100" s="48"/>
      <c r="R100" s="413">
        <v>42061.223428813886</v>
      </c>
      <c r="S100" s="413"/>
      <c r="T100" s="48"/>
      <c r="U100" s="415"/>
      <c r="V100" s="424">
        <v>3998.6666666666665</v>
      </c>
      <c r="W100" s="424">
        <v>4602.1111111111095</v>
      </c>
      <c r="X100" s="424">
        <v>214</v>
      </c>
    </row>
    <row r="101" spans="2:24" ht="12.75" outlineLevel="1">
      <c r="B101" s="551" t="s">
        <v>242</v>
      </c>
      <c r="C101" s="454"/>
      <c r="D101" s="454"/>
      <c r="E101" s="60">
        <v>6279</v>
      </c>
      <c r="F101" s="60">
        <v>42964.7</v>
      </c>
      <c r="G101" s="58">
        <f>985069.626418478/12</f>
        <v>82089.13553487316</v>
      </c>
      <c r="H101" s="402">
        <f>O101+P101</f>
        <v>920371.4695874379</v>
      </c>
      <c r="I101" s="402">
        <f>R101+S101</f>
        <v>1400651.124665836</v>
      </c>
      <c r="J101" s="60"/>
      <c r="K101" s="402">
        <f>SUM(U101:X101)</f>
        <v>252634.4144144144</v>
      </c>
      <c r="L101" s="58"/>
      <c r="M101" s="402">
        <f>SUM(E101:L101)</f>
        <v>2704989.8442025613</v>
      </c>
      <c r="N101" s="48"/>
      <c r="O101" s="557">
        <v>909257.4695874379</v>
      </c>
      <c r="P101" s="557">
        <v>11114</v>
      </c>
      <c r="Q101" s="48"/>
      <c r="R101" s="557">
        <v>1400651.124665836</v>
      </c>
      <c r="S101" s="557"/>
      <c r="T101" s="48"/>
      <c r="U101" s="415"/>
      <c r="V101" s="556">
        <v>117554.05405405404</v>
      </c>
      <c r="W101" s="556">
        <v>127360.36036036037</v>
      </c>
      <c r="X101" s="556">
        <v>7720</v>
      </c>
    </row>
    <row r="102" spans="2:24" ht="12.75" outlineLevel="1">
      <c r="B102" s="551" t="s">
        <v>249</v>
      </c>
      <c r="C102" s="454"/>
      <c r="D102" s="454"/>
      <c r="E102" s="60">
        <v>14275627</v>
      </c>
      <c r="F102" s="60">
        <v>33044894.065121543</v>
      </c>
      <c r="G102" s="58">
        <v>58131703.80949913</v>
      </c>
      <c r="H102" s="402">
        <f>O102+P102</f>
        <v>767515660.1751466</v>
      </c>
      <c r="I102" s="402">
        <f>R102+S102</f>
        <v>938039405.5786457</v>
      </c>
      <c r="J102" s="60"/>
      <c r="K102" s="402">
        <f>SUM(U102:X102)</f>
        <v>176581478.48901787</v>
      </c>
      <c r="L102" s="58"/>
      <c r="M102" s="402">
        <f>SUM(E102:L102)</f>
        <v>1987588769.117431</v>
      </c>
      <c r="N102" s="48"/>
      <c r="O102" s="557">
        <v>757236347.1751466</v>
      </c>
      <c r="P102" s="557">
        <v>10279313</v>
      </c>
      <c r="Q102" s="48"/>
      <c r="R102" s="557">
        <v>938039405.5786457</v>
      </c>
      <c r="S102" s="557"/>
      <c r="T102" s="48"/>
      <c r="U102" s="415"/>
      <c r="V102" s="556">
        <v>72259607.84313725</v>
      </c>
      <c r="W102" s="556">
        <v>101514486.64588062</v>
      </c>
      <c r="X102" s="556">
        <v>2807384</v>
      </c>
    </row>
    <row r="103" spans="2:24" ht="12.75" outlineLevel="1">
      <c r="B103" s="447" t="s">
        <v>275</v>
      </c>
      <c r="C103" s="454"/>
      <c r="D103" s="454"/>
      <c r="E103" s="49"/>
      <c r="F103" s="49"/>
      <c r="G103" s="50"/>
      <c r="H103" s="48"/>
      <c r="I103" s="48"/>
      <c r="J103" s="49"/>
      <c r="K103" s="48"/>
      <c r="L103" s="50"/>
      <c r="M103" s="48"/>
      <c r="N103" s="48"/>
      <c r="O103" s="414"/>
      <c r="P103" s="414"/>
      <c r="Q103" s="48"/>
      <c r="R103" s="414"/>
      <c r="S103" s="414"/>
      <c r="T103" s="48"/>
      <c r="U103" s="421"/>
      <c r="V103" s="421"/>
      <c r="W103" s="421"/>
      <c r="X103" s="421"/>
    </row>
    <row r="104" spans="2:24" ht="12.75" outlineLevel="1">
      <c r="B104" s="448" t="s">
        <v>250</v>
      </c>
      <c r="C104" s="454"/>
      <c r="D104" s="454"/>
      <c r="E104" s="49"/>
      <c r="F104" s="49"/>
      <c r="G104" s="50"/>
      <c r="H104" s="48"/>
      <c r="I104" s="48"/>
      <c r="J104" s="49"/>
      <c r="K104" s="48"/>
      <c r="L104" s="50"/>
      <c r="M104" s="48"/>
      <c r="N104" s="48"/>
      <c r="O104" s="414"/>
      <c r="P104" s="414"/>
      <c r="Q104" s="48"/>
      <c r="R104" s="414"/>
      <c r="S104" s="414"/>
      <c r="T104" s="48"/>
      <c r="U104" s="421"/>
      <c r="V104" s="421"/>
      <c r="W104" s="421"/>
      <c r="X104" s="421"/>
    </row>
    <row r="105" spans="2:24" ht="12.75" outlineLevel="1">
      <c r="B105" s="447" t="s">
        <v>230</v>
      </c>
      <c r="C105" s="454"/>
      <c r="D105" s="454"/>
      <c r="E105" s="53">
        <v>30659</v>
      </c>
      <c r="F105" s="53">
        <v>72379.44583333335</v>
      </c>
      <c r="G105" s="47">
        <v>7357.255189004737</v>
      </c>
      <c r="H105" s="404">
        <f>O105+P105</f>
        <v>1051385.071268062</v>
      </c>
      <c r="I105" s="404">
        <f>R105+S105</f>
        <v>778003.6303590597</v>
      </c>
      <c r="J105" s="53">
        <v>17014.6</v>
      </c>
      <c r="K105" s="404">
        <f>SUM(U105:X105)</f>
        <v>1256257.13</v>
      </c>
      <c r="L105" s="47">
        <v>39703.278068608524</v>
      </c>
      <c r="M105" s="404">
        <f>SUM(E105:L105)</f>
        <v>3252759.4107180685</v>
      </c>
      <c r="N105" s="48"/>
      <c r="O105" s="481">
        <v>1032128.0712680622</v>
      </c>
      <c r="P105" s="481">
        <v>19257</v>
      </c>
      <c r="Q105" s="48"/>
      <c r="R105" s="481">
        <v>778003.6303590597</v>
      </c>
      <c r="S105" s="481"/>
      <c r="T105" s="48"/>
      <c r="U105" s="415"/>
      <c r="V105" s="424">
        <v>995644.2966666666</v>
      </c>
      <c r="W105" s="424">
        <v>235571.83333333334</v>
      </c>
      <c r="X105" s="424">
        <v>25041</v>
      </c>
    </row>
    <row r="106" spans="2:24" ht="12.75" outlineLevel="1">
      <c r="B106" s="551" t="s">
        <v>246</v>
      </c>
      <c r="C106" s="454"/>
      <c r="D106" s="454"/>
      <c r="E106" s="60">
        <f>63304265+3691840</f>
        <v>66996105</v>
      </c>
      <c r="F106" s="60">
        <v>187921252.8254965</v>
      </c>
      <c r="G106" s="58">
        <v>22237742.115547862</v>
      </c>
      <c r="H106" s="402">
        <f>O106+P106</f>
        <v>2805267946.320294</v>
      </c>
      <c r="I106" s="402">
        <f>R106+S106</f>
        <v>2092837010.596519</v>
      </c>
      <c r="J106" s="60">
        <v>33608193</v>
      </c>
      <c r="K106" s="402">
        <f>SUM(U106:X106)</f>
        <v>2533547156.0626335</v>
      </c>
      <c r="L106" s="58">
        <v>74170631.37703112</v>
      </c>
      <c r="M106" s="402">
        <f>SUM(E106:L106)</f>
        <v>7816586037.297522</v>
      </c>
      <c r="N106" s="48"/>
      <c r="O106" s="558">
        <v>2758375772.320294</v>
      </c>
      <c r="P106" s="558">
        <v>46892174</v>
      </c>
      <c r="Q106" s="48"/>
      <c r="R106" s="558">
        <v>1950365438.385546</v>
      </c>
      <c r="S106" s="558">
        <v>142471572.21097305</v>
      </c>
      <c r="T106" s="48"/>
      <c r="U106" s="415"/>
      <c r="V106" s="556">
        <v>1862890606.6605172</v>
      </c>
      <c r="W106" s="556">
        <v>627592116.4021164</v>
      </c>
      <c r="X106" s="556">
        <v>43064433</v>
      </c>
    </row>
    <row r="107" spans="2:24" ht="12.75" outlineLevel="1">
      <c r="B107" s="551" t="s">
        <v>233</v>
      </c>
      <c r="C107" s="454"/>
      <c r="D107" s="454"/>
      <c r="E107" s="60">
        <f>72835431+1570396</f>
        <v>74405827</v>
      </c>
      <c r="F107" s="60">
        <v>175995459.21809116</v>
      </c>
      <c r="G107" s="58">
        <v>15919530.69405146</v>
      </c>
      <c r="H107" s="402">
        <f>O107+P107</f>
        <v>2350383259.746192</v>
      </c>
      <c r="I107" s="402">
        <f>R107+S107</f>
        <v>2083367880.2478623</v>
      </c>
      <c r="J107" s="60">
        <v>37510350</v>
      </c>
      <c r="K107" s="402">
        <f>SUM(U107:X107)</f>
        <v>2481474068.611333</v>
      </c>
      <c r="L107" s="58">
        <v>91715461.57531302</v>
      </c>
      <c r="M107" s="402">
        <f>SUM(E107:L107)</f>
        <v>7310771837.092842</v>
      </c>
      <c r="N107" s="48"/>
      <c r="O107" s="558">
        <v>2313645551.746192</v>
      </c>
      <c r="P107" s="558">
        <v>36737708</v>
      </c>
      <c r="Q107" s="48"/>
      <c r="R107" s="558">
        <v>1604424333.9959826</v>
      </c>
      <c r="S107" s="558">
        <v>478943546.2518798</v>
      </c>
      <c r="T107" s="48"/>
      <c r="U107" s="415"/>
      <c r="V107" s="556">
        <v>1881596837.526677</v>
      </c>
      <c r="W107" s="556">
        <v>557999656.0846561</v>
      </c>
      <c r="X107" s="556">
        <v>41877575</v>
      </c>
    </row>
    <row r="108" spans="2:24" ht="12.75" outlineLevel="1">
      <c r="B108" s="447" t="s">
        <v>275</v>
      </c>
      <c r="C108" s="454"/>
      <c r="D108" s="454"/>
      <c r="E108" s="52"/>
      <c r="F108" s="52"/>
      <c r="G108" s="50"/>
      <c r="H108" s="48"/>
      <c r="I108" s="48"/>
      <c r="J108" s="52"/>
      <c r="K108" s="48"/>
      <c r="L108" s="50"/>
      <c r="M108" s="48"/>
      <c r="N108" s="48"/>
      <c r="O108" s="414"/>
      <c r="P108" s="414"/>
      <c r="Q108" s="48"/>
      <c r="R108" s="414"/>
      <c r="S108" s="414"/>
      <c r="T108" s="48"/>
      <c r="U108" s="423"/>
      <c r="V108" s="423"/>
      <c r="W108" s="423"/>
      <c r="X108" s="423"/>
    </row>
    <row r="109" spans="2:24" ht="12.75" outlineLevel="1">
      <c r="B109" s="448" t="s">
        <v>251</v>
      </c>
      <c r="C109" s="454"/>
      <c r="D109" s="454"/>
      <c r="E109" s="49"/>
      <c r="F109" s="49"/>
      <c r="G109" s="50"/>
      <c r="H109" s="48"/>
      <c r="I109" s="48"/>
      <c r="J109" s="49"/>
      <c r="K109" s="48"/>
      <c r="L109" s="50"/>
      <c r="M109" s="48"/>
      <c r="N109" s="48"/>
      <c r="O109" s="414"/>
      <c r="P109" s="414"/>
      <c r="Q109" s="48"/>
      <c r="R109" s="414"/>
      <c r="S109" s="414"/>
      <c r="T109" s="48"/>
      <c r="U109" s="421"/>
      <c r="V109" s="421"/>
      <c r="W109" s="421"/>
      <c r="X109" s="421"/>
    </row>
    <row r="110" spans="2:24" ht="12.75" outlineLevel="1">
      <c r="B110" s="447" t="s">
        <v>230</v>
      </c>
      <c r="C110" s="454"/>
      <c r="D110" s="454"/>
      <c r="E110" s="53">
        <v>18395</v>
      </c>
      <c r="F110" s="53">
        <f>114971.205+(80185.1851851852/11)</f>
        <v>122260.7672895623</v>
      </c>
      <c r="G110" s="47">
        <v>89176.10919011297</v>
      </c>
      <c r="H110" s="404">
        <f>O110+P110</f>
        <v>1298740.7700251548</v>
      </c>
      <c r="I110" s="404">
        <f>R110+S110</f>
        <v>1867079.1613309004</v>
      </c>
      <c r="J110" s="53">
        <v>12267</v>
      </c>
      <c r="K110" s="404">
        <f>SUM(U110:X110)</f>
        <v>543917.3333333333</v>
      </c>
      <c r="L110" s="47">
        <v>5624.993333333334</v>
      </c>
      <c r="M110" s="404">
        <f>SUM(E110:L110)</f>
        <v>3957461.134502397</v>
      </c>
      <c r="N110" s="48"/>
      <c r="O110" s="413">
        <v>1274070.7700251548</v>
      </c>
      <c r="P110" s="413">
        <v>24670</v>
      </c>
      <c r="Q110" s="48"/>
      <c r="R110" s="413">
        <v>1867079.1613309004</v>
      </c>
      <c r="S110" s="413"/>
      <c r="T110" s="48"/>
      <c r="U110" s="415"/>
      <c r="V110" s="424">
        <v>249542.27777777775</v>
      </c>
      <c r="W110" s="424">
        <v>284325.05555555556</v>
      </c>
      <c r="X110" s="424">
        <v>10050</v>
      </c>
    </row>
    <row r="111" spans="2:24" ht="12.75" outlineLevel="1">
      <c r="B111" s="551" t="s">
        <v>249</v>
      </c>
      <c r="C111" s="454"/>
      <c r="D111" s="454"/>
      <c r="E111" s="60">
        <v>51158487</v>
      </c>
      <c r="F111" s="60">
        <f>331613546.792647+14204051.55864</f>
        <v>345817598.351287</v>
      </c>
      <c r="G111" s="58">
        <v>297352385.7110364</v>
      </c>
      <c r="H111" s="402">
        <f>O111+P111</f>
        <v>4363077221.666331</v>
      </c>
      <c r="I111" s="402">
        <f>R111+S111</f>
        <v>5779873517.978471</v>
      </c>
      <c r="J111" s="60">
        <v>32427231</v>
      </c>
      <c r="K111" s="402">
        <f>SUM(U111:X111)</f>
        <v>1516581239.4705906</v>
      </c>
      <c r="L111" s="58">
        <v>14448471.232876714</v>
      </c>
      <c r="M111" s="402">
        <f>SUM(E111:L111)</f>
        <v>12400736152.410593</v>
      </c>
      <c r="N111" s="48"/>
      <c r="O111" s="557">
        <v>4294973191.666331</v>
      </c>
      <c r="P111" s="557">
        <v>68104030</v>
      </c>
      <c r="Q111" s="48"/>
      <c r="R111" s="557">
        <v>5779873517.978471</v>
      </c>
      <c r="S111" s="557"/>
      <c r="T111" s="48"/>
      <c r="U111" s="415"/>
      <c r="V111" s="556">
        <v>523160267.6399027</v>
      </c>
      <c r="W111" s="556">
        <v>974095687.8306878</v>
      </c>
      <c r="X111" s="556">
        <v>19325284</v>
      </c>
    </row>
    <row r="112" spans="2:24" ht="12.75" outlineLevel="1">
      <c r="B112" s="447" t="s">
        <v>275</v>
      </c>
      <c r="C112" s="454"/>
      <c r="D112" s="454"/>
      <c r="E112" s="55"/>
      <c r="F112" s="55"/>
      <c r="G112" s="50"/>
      <c r="H112" s="50"/>
      <c r="I112" s="55"/>
      <c r="J112" s="55"/>
      <c r="K112" s="50"/>
      <c r="L112" s="50"/>
      <c r="M112" s="48"/>
      <c r="N112" s="48"/>
      <c r="O112" s="412"/>
      <c r="P112" s="412"/>
      <c r="Q112" s="48"/>
      <c r="R112" s="412"/>
      <c r="S112" s="412"/>
      <c r="T112" s="48"/>
      <c r="U112" s="415"/>
      <c r="V112" s="415"/>
      <c r="W112" s="415"/>
      <c r="X112" s="415"/>
    </row>
    <row r="113" spans="2:24" ht="12.75" outlineLevel="1">
      <c r="B113" s="448" t="s">
        <v>257</v>
      </c>
      <c r="C113" s="454"/>
      <c r="D113" s="454"/>
      <c r="E113" s="55"/>
      <c r="F113" s="55"/>
      <c r="G113" s="50"/>
      <c r="H113" s="50"/>
      <c r="I113" s="55"/>
      <c r="J113" s="55"/>
      <c r="K113" s="50"/>
      <c r="L113" s="50"/>
      <c r="M113" s="48"/>
      <c r="N113" s="48"/>
      <c r="O113" s="412"/>
      <c r="P113" s="412"/>
      <c r="Q113" s="48"/>
      <c r="R113" s="412"/>
      <c r="S113" s="412"/>
      <c r="T113" s="48"/>
      <c r="U113" s="415"/>
      <c r="V113" s="415"/>
      <c r="W113" s="415"/>
      <c r="X113" s="415"/>
    </row>
    <row r="114" spans="2:24" ht="12.75" outlineLevel="1">
      <c r="B114" s="447" t="s">
        <v>230</v>
      </c>
      <c r="C114" s="454"/>
      <c r="D114" s="454"/>
      <c r="E114" s="53">
        <v>21440</v>
      </c>
      <c r="F114" s="53">
        <v>81115.33333333333</v>
      </c>
      <c r="G114" s="47">
        <v>40214.5</v>
      </c>
      <c r="H114" s="404">
        <f>O114+P114</f>
        <v>889401.0101010099</v>
      </c>
      <c r="I114" s="419">
        <f>R114+S114</f>
        <v>494083.12179984484</v>
      </c>
      <c r="J114" s="53">
        <v>17296</v>
      </c>
      <c r="K114" s="403">
        <f>V114+W114+X114</f>
        <v>596813.0370370371</v>
      </c>
      <c r="L114" s="47">
        <v>22644</v>
      </c>
      <c r="M114" s="404">
        <f>SUM(E114:L114)</f>
        <v>2163007.0022712247</v>
      </c>
      <c r="N114" s="48"/>
      <c r="O114" s="434">
        <v>874483.0101010099</v>
      </c>
      <c r="P114" s="434">
        <v>14918</v>
      </c>
      <c r="Q114" s="48"/>
      <c r="R114" s="434">
        <v>494083.12179984484</v>
      </c>
      <c r="S114" s="434"/>
      <c r="T114" s="48"/>
      <c r="U114" s="415"/>
      <c r="V114" s="424">
        <v>425366.0370370371</v>
      </c>
      <c r="W114" s="424">
        <v>163100</v>
      </c>
      <c r="X114" s="424">
        <v>8347</v>
      </c>
    </row>
    <row r="115" spans="2:24" ht="12.75" outlineLevel="1">
      <c r="B115" s="551" t="s">
        <v>246</v>
      </c>
      <c r="C115" s="454"/>
      <c r="D115" s="454"/>
      <c r="E115" s="60">
        <v>3691840</v>
      </c>
      <c r="F115" s="60"/>
      <c r="G115" s="58">
        <v>10216206.345888363</v>
      </c>
      <c r="H115" s="402">
        <f>O115+P115</f>
        <v>152038819.63636366</v>
      </c>
      <c r="I115" s="60">
        <f>R115+S115</f>
        <v>100727651.50059235</v>
      </c>
      <c r="J115" s="60">
        <v>2384588</v>
      </c>
      <c r="K115" s="58">
        <f>V115+W115+X115</f>
        <v>113865786.80530888</v>
      </c>
      <c r="L115" s="58">
        <v>4058235</v>
      </c>
      <c r="M115" s="402">
        <f>SUM(E115:L115)</f>
        <v>386983127.28815323</v>
      </c>
      <c r="N115" s="48"/>
      <c r="O115" s="417">
        <v>147732163.63636366</v>
      </c>
      <c r="P115" s="417">
        <v>4306656</v>
      </c>
      <c r="Q115" s="48"/>
      <c r="R115" s="417">
        <v>85753384.85631013</v>
      </c>
      <c r="S115" s="417">
        <v>14974266.644282227</v>
      </c>
      <c r="T115" s="48"/>
      <c r="U115" s="415"/>
      <c r="V115" s="556">
        <v>98346480.44692737</v>
      </c>
      <c r="W115" s="556">
        <v>15519306.358381504</v>
      </c>
      <c r="X115" s="556"/>
    </row>
    <row r="116" spans="2:24" ht="12.75" outlineLevel="1">
      <c r="B116" s="551" t="s">
        <v>233</v>
      </c>
      <c r="C116" s="454"/>
      <c r="D116" s="454"/>
      <c r="E116" s="60">
        <v>1570396</v>
      </c>
      <c r="F116" s="60">
        <v>14728181.309929002</v>
      </c>
      <c r="G116" s="58">
        <v>4091416.2224593004</v>
      </c>
      <c r="H116" s="402">
        <f>O116+P116</f>
        <v>35892950.81818181</v>
      </c>
      <c r="I116" s="60">
        <f>R116+S116</f>
        <v>36221833.94577617</v>
      </c>
      <c r="J116" s="60">
        <v>778875</v>
      </c>
      <c r="K116" s="58">
        <f>V116+W116+X116</f>
        <v>36940294.35076393</v>
      </c>
      <c r="L116" s="58">
        <v>2104270</v>
      </c>
      <c r="M116" s="402">
        <f>SUM(E116:L116)</f>
        <v>132328217.64711021</v>
      </c>
      <c r="N116" s="48"/>
      <c r="O116" s="417">
        <v>35030613.81818181</v>
      </c>
      <c r="P116" s="417">
        <v>862337</v>
      </c>
      <c r="Q116" s="48"/>
      <c r="R116" s="417">
        <v>33548391.952492557</v>
      </c>
      <c r="S116" s="417">
        <v>2673441.993283618</v>
      </c>
      <c r="T116" s="48"/>
      <c r="U116" s="415"/>
      <c r="V116" s="556">
        <v>32553966.48044693</v>
      </c>
      <c r="W116" s="556">
        <v>1335734.8703170028</v>
      </c>
      <c r="X116" s="556">
        <v>3050593</v>
      </c>
    </row>
    <row r="117" spans="2:24" ht="12.75" outlineLevel="1">
      <c r="B117" s="454"/>
      <c r="C117" s="454"/>
      <c r="D117" s="454"/>
      <c r="E117" s="55"/>
      <c r="F117" s="55"/>
      <c r="G117" s="50"/>
      <c r="H117" s="50"/>
      <c r="I117" s="55"/>
      <c r="J117" s="55"/>
      <c r="K117" s="50"/>
      <c r="L117" s="50"/>
      <c r="M117" s="48"/>
      <c r="N117" s="48"/>
      <c r="O117" s="412"/>
      <c r="P117" s="412"/>
      <c r="Q117" s="48"/>
      <c r="R117" s="412"/>
      <c r="S117" s="412"/>
      <c r="T117" s="48"/>
      <c r="U117" s="412"/>
      <c r="V117" s="412"/>
      <c r="W117" s="412"/>
      <c r="X117" s="412"/>
    </row>
    <row r="118" spans="2:24" ht="12.75" outlineLevel="1">
      <c r="B118" s="448" t="s">
        <v>263</v>
      </c>
      <c r="C118" s="471"/>
      <c r="D118" s="471"/>
      <c r="E118" s="55"/>
      <c r="F118" s="55"/>
      <c r="G118" s="50"/>
      <c r="H118" s="50"/>
      <c r="I118" s="55"/>
      <c r="J118" s="55"/>
      <c r="K118" s="50"/>
      <c r="L118" s="50"/>
      <c r="M118" s="48"/>
      <c r="N118" s="48"/>
      <c r="O118" s="412"/>
      <c r="P118" s="412"/>
      <c r="Q118" s="48"/>
      <c r="R118" s="412"/>
      <c r="S118" s="412"/>
      <c r="T118" s="48"/>
      <c r="U118" s="412"/>
      <c r="V118" s="412"/>
      <c r="W118" s="412"/>
      <c r="X118" s="412"/>
    </row>
    <row r="119" spans="2:24" ht="12.75" outlineLevel="1">
      <c r="B119" s="447" t="s">
        <v>264</v>
      </c>
      <c r="C119" s="472"/>
      <c r="D119" s="472"/>
      <c r="E119" s="419">
        <f aca="true" t="shared" si="24" ref="E119:L119">E114</f>
        <v>21440</v>
      </c>
      <c r="F119" s="419">
        <f t="shared" si="24"/>
        <v>81115.33333333333</v>
      </c>
      <c r="G119" s="419">
        <f t="shared" si="24"/>
        <v>40214.5</v>
      </c>
      <c r="H119" s="419">
        <f t="shared" si="24"/>
        <v>889401.0101010099</v>
      </c>
      <c r="I119" s="419">
        <f t="shared" si="24"/>
        <v>494083.12179984484</v>
      </c>
      <c r="J119" s="419">
        <f t="shared" si="24"/>
        <v>17296</v>
      </c>
      <c r="K119" s="419">
        <f t="shared" si="24"/>
        <v>596813.0370370371</v>
      </c>
      <c r="L119" s="419">
        <f t="shared" si="24"/>
        <v>22644</v>
      </c>
      <c r="M119" s="404">
        <f>SUM(E119:L119)</f>
        <v>2163007.0022712247</v>
      </c>
      <c r="N119" s="55"/>
      <c r="O119" s="415"/>
      <c r="P119" s="415"/>
      <c r="Q119" s="55"/>
      <c r="R119" s="415"/>
      <c r="S119" s="415"/>
      <c r="T119" s="55"/>
      <c r="U119" s="415"/>
      <c r="V119" s="415"/>
      <c r="W119" s="415"/>
      <c r="X119" s="415"/>
    </row>
    <row r="120" spans="2:24" ht="12.75" outlineLevel="1">
      <c r="B120" s="447" t="s">
        <v>265</v>
      </c>
      <c r="C120" s="472"/>
      <c r="D120" s="472"/>
      <c r="E120" s="419">
        <f aca="true" t="shared" si="25" ref="E120:L120">E110+E105+E100+E94</f>
        <v>50624</v>
      </c>
      <c r="F120" s="419">
        <f t="shared" si="25"/>
        <v>203242.0871043771</v>
      </c>
      <c r="G120" s="419">
        <f t="shared" si="25"/>
        <v>99514.8263518253</v>
      </c>
      <c r="H120" s="419">
        <f t="shared" si="25"/>
        <v>2460809.764689746</v>
      </c>
      <c r="I120" s="419">
        <f t="shared" si="25"/>
        <v>2759373.7134639043</v>
      </c>
      <c r="J120" s="419">
        <f t="shared" si="25"/>
        <v>30533.1</v>
      </c>
      <c r="K120" s="419">
        <f t="shared" si="25"/>
        <v>1869299.241111111</v>
      </c>
      <c r="L120" s="419">
        <f t="shared" si="25"/>
        <v>50061.66924567843</v>
      </c>
      <c r="M120" s="404">
        <f>SUM(E120:L120)</f>
        <v>7523458.401966642</v>
      </c>
      <c r="N120" s="55"/>
      <c r="O120" s="415"/>
      <c r="P120" s="415"/>
      <c r="Q120" s="55"/>
      <c r="R120" s="415"/>
      <c r="S120" s="415"/>
      <c r="T120" s="55"/>
      <c r="U120" s="415"/>
      <c r="V120" s="415"/>
      <c r="W120" s="415"/>
      <c r="X120" s="415"/>
    </row>
    <row r="121" spans="2:24" ht="12.75" outlineLevel="1">
      <c r="B121" s="447"/>
      <c r="C121" s="472"/>
      <c r="D121" s="472"/>
      <c r="E121" s="55"/>
      <c r="F121" s="55"/>
      <c r="G121" s="50"/>
      <c r="H121" s="50"/>
      <c r="I121" s="55"/>
      <c r="J121" s="55"/>
      <c r="K121" s="50"/>
      <c r="L121" s="50"/>
      <c r="M121" s="48"/>
      <c r="N121" s="48"/>
      <c r="O121" s="412"/>
      <c r="P121" s="412"/>
      <c r="Q121" s="48"/>
      <c r="R121" s="412"/>
      <c r="S121" s="412"/>
      <c r="T121" s="48"/>
      <c r="U121" s="412"/>
      <c r="V121" s="412"/>
      <c r="W121" s="412"/>
      <c r="X121" s="412"/>
    </row>
    <row r="122" spans="2:24" ht="12.75" outlineLevel="1">
      <c r="B122" s="448" t="s">
        <v>266</v>
      </c>
      <c r="C122" s="471"/>
      <c r="D122" s="471"/>
      <c r="E122" s="55"/>
      <c r="F122" s="55"/>
      <c r="G122" s="50"/>
      <c r="H122" s="50"/>
      <c r="I122" s="55"/>
      <c r="J122" s="55"/>
      <c r="K122" s="50"/>
      <c r="L122" s="50"/>
      <c r="M122" s="48"/>
      <c r="N122" s="48"/>
      <c r="O122" s="412"/>
      <c r="P122" s="412"/>
      <c r="Q122" s="48"/>
      <c r="R122" s="412"/>
      <c r="S122" s="412"/>
      <c r="T122" s="48"/>
      <c r="U122" s="412"/>
      <c r="V122" s="412"/>
      <c r="W122" s="412"/>
      <c r="X122" s="412"/>
    </row>
    <row r="123" spans="2:24" ht="12.75" outlineLevel="1">
      <c r="B123" s="447" t="s">
        <v>267</v>
      </c>
      <c r="C123" s="472"/>
      <c r="D123" s="472"/>
      <c r="E123" s="419">
        <f aca="true" t="shared" si="26" ref="E123:L123">E$7*E114</f>
        <v>21440</v>
      </c>
      <c r="F123" s="419">
        <f t="shared" si="26"/>
        <v>81115.33333333333</v>
      </c>
      <c r="G123" s="419">
        <f t="shared" si="26"/>
        <v>40214.5</v>
      </c>
      <c r="H123" s="419">
        <f t="shared" si="26"/>
        <v>889401.0101010099</v>
      </c>
      <c r="I123" s="419">
        <f t="shared" si="26"/>
        <v>494083.12179984484</v>
      </c>
      <c r="J123" s="419">
        <f t="shared" si="26"/>
        <v>17296</v>
      </c>
      <c r="K123" s="419">
        <f t="shared" si="26"/>
        <v>596813.0370370371</v>
      </c>
      <c r="L123" s="419">
        <f t="shared" si="26"/>
        <v>22644</v>
      </c>
      <c r="M123" s="404">
        <f aca="true" t="shared" si="27" ref="M123:M128">SUM(E123:L123)</f>
        <v>2163007.0022712247</v>
      </c>
      <c r="N123" s="55"/>
      <c r="O123" s="415"/>
      <c r="P123" s="415"/>
      <c r="Q123" s="55"/>
      <c r="R123" s="415"/>
      <c r="S123" s="415"/>
      <c r="T123" s="55"/>
      <c r="U123" s="415"/>
      <c r="V123" s="415"/>
      <c r="W123" s="415"/>
      <c r="X123" s="415"/>
    </row>
    <row r="124" spans="2:24" ht="12.75" outlineLevel="1">
      <c r="B124" s="447" t="s">
        <v>268</v>
      </c>
      <c r="C124" s="472"/>
      <c r="D124" s="472"/>
      <c r="E124" s="419">
        <f aca="true" t="shared" si="28" ref="E124:L124">E$8*(E110+E105)</f>
        <v>49054</v>
      </c>
      <c r="F124" s="419">
        <f t="shared" si="28"/>
        <v>194640.21312289563</v>
      </c>
      <c r="G124" s="419">
        <f t="shared" si="28"/>
        <v>96533.3643791177</v>
      </c>
      <c r="H124" s="419">
        <f t="shared" si="28"/>
        <v>2350125.8412932167</v>
      </c>
      <c r="I124" s="419">
        <f t="shared" si="28"/>
        <v>2645082.7916899603</v>
      </c>
      <c r="J124" s="419">
        <f t="shared" si="28"/>
        <v>29281.6</v>
      </c>
      <c r="K124" s="419">
        <f t="shared" si="28"/>
        <v>1800174.4633333331</v>
      </c>
      <c r="L124" s="419">
        <f t="shared" si="28"/>
        <v>45328.271401941856</v>
      </c>
      <c r="M124" s="404">
        <f t="shared" si="27"/>
        <v>7210220.5452204645</v>
      </c>
      <c r="N124" s="55"/>
      <c r="O124" s="415"/>
      <c r="P124" s="415"/>
      <c r="Q124" s="55"/>
      <c r="R124" s="415"/>
      <c r="S124" s="415"/>
      <c r="T124" s="55"/>
      <c r="U124" s="415"/>
      <c r="V124" s="415"/>
      <c r="W124" s="415"/>
      <c r="X124" s="415"/>
    </row>
    <row r="125" spans="2:24" ht="12.75" outlineLevel="1">
      <c r="B125" s="447" t="s">
        <v>269</v>
      </c>
      <c r="C125" s="472"/>
      <c r="D125" s="472"/>
      <c r="E125" s="419">
        <f>E$9*(E100+E94)</f>
        <v>838</v>
      </c>
      <c r="F125" s="419">
        <f aca="true" t="shared" si="29" ref="F125:L125">F$9*(F100+F94)</f>
        <v>4249.461161317873</v>
      </c>
      <c r="G125" s="419">
        <f t="shared" si="29"/>
        <v>1157.1669976331443</v>
      </c>
      <c r="H125" s="419">
        <f t="shared" si="29"/>
        <v>55920.71112334471</v>
      </c>
      <c r="I125" s="419">
        <f t="shared" si="29"/>
        <v>54179.40124963086</v>
      </c>
      <c r="J125" s="419">
        <f t="shared" si="29"/>
        <v>579.5327800829875</v>
      </c>
      <c r="K125" s="419">
        <f t="shared" si="29"/>
        <v>36649.00000000001</v>
      </c>
      <c r="L125" s="419">
        <f t="shared" si="29"/>
        <v>1907.8149902780797</v>
      </c>
      <c r="M125" s="404">
        <f t="shared" si="27"/>
        <v>155481.08830228765</v>
      </c>
      <c r="N125" s="55"/>
      <c r="O125" s="415"/>
      <c r="P125" s="415"/>
      <c r="Q125" s="55"/>
      <c r="R125" s="415"/>
      <c r="S125" s="415"/>
      <c r="T125" s="55"/>
      <c r="U125" s="415"/>
      <c r="V125" s="415"/>
      <c r="W125" s="415"/>
      <c r="X125" s="415"/>
    </row>
    <row r="126" spans="2:24" ht="12.75" outlineLevel="1">
      <c r="B126" s="447" t="s">
        <v>270</v>
      </c>
      <c r="C126" s="472"/>
      <c r="D126" s="472"/>
      <c r="E126" s="419">
        <f aca="true" t="shared" si="30" ref="E126:L126">E$10*(E100+E94)</f>
        <v>268</v>
      </c>
      <c r="F126" s="419">
        <f t="shared" si="30"/>
        <v>1907.0784981096826</v>
      </c>
      <c r="G126" s="419">
        <f t="shared" si="30"/>
        <v>604.3491797004533</v>
      </c>
      <c r="H126" s="419">
        <f t="shared" si="30"/>
        <v>21899.90894508556</v>
      </c>
      <c r="I126" s="419">
        <f t="shared" si="30"/>
        <v>22143.886435391527</v>
      </c>
      <c r="J126" s="419">
        <f t="shared" si="30"/>
        <v>294.0361456892577</v>
      </c>
      <c r="K126" s="419">
        <f t="shared" si="30"/>
        <v>11742</v>
      </c>
      <c r="L126" s="419">
        <f t="shared" si="30"/>
        <v>1121.8197179995902</v>
      </c>
      <c r="M126" s="404">
        <f t="shared" si="27"/>
        <v>59981.07892197607</v>
      </c>
      <c r="N126" s="55"/>
      <c r="O126" s="415"/>
      <c r="P126" s="415"/>
      <c r="Q126" s="55"/>
      <c r="R126" s="415"/>
      <c r="S126" s="415"/>
      <c r="T126" s="55"/>
      <c r="U126" s="415"/>
      <c r="V126" s="415"/>
      <c r="W126" s="415"/>
      <c r="X126" s="415"/>
    </row>
    <row r="127" spans="2:24" ht="12.75" outlineLevel="1">
      <c r="B127" s="447" t="s">
        <v>271</v>
      </c>
      <c r="C127" s="472"/>
      <c r="D127" s="472"/>
      <c r="E127" s="419">
        <f aca="true" t="shared" si="31" ref="E127:L127">E$11*(E100+E94)</f>
        <v>240</v>
      </c>
      <c r="F127" s="419">
        <f t="shared" si="31"/>
        <v>1346.3697697966852</v>
      </c>
      <c r="G127" s="419">
        <f t="shared" si="31"/>
        <v>1114.7902044315697</v>
      </c>
      <c r="H127" s="419">
        <f t="shared" si="31"/>
        <v>19967.534590218136</v>
      </c>
      <c r="I127" s="419">
        <f t="shared" si="31"/>
        <v>21917.852752274946</v>
      </c>
      <c r="J127" s="419">
        <f t="shared" si="31"/>
        <v>229.29741816505302</v>
      </c>
      <c r="K127" s="419">
        <f t="shared" si="31"/>
        <v>13814</v>
      </c>
      <c r="L127" s="419">
        <f t="shared" si="31"/>
        <v>944.1614192172477</v>
      </c>
      <c r="M127" s="404">
        <f t="shared" si="27"/>
        <v>59574.006154103634</v>
      </c>
      <c r="N127" s="55"/>
      <c r="O127" s="415"/>
      <c r="P127" s="415"/>
      <c r="Q127" s="55"/>
      <c r="R127" s="415"/>
      <c r="S127" s="415"/>
      <c r="T127" s="55"/>
      <c r="U127" s="415"/>
      <c r="V127" s="415"/>
      <c r="W127" s="415"/>
      <c r="X127" s="415"/>
    </row>
    <row r="128" spans="2:24" ht="12.75" outlineLevel="1">
      <c r="B128" s="447" t="s">
        <v>272</v>
      </c>
      <c r="C128" s="472"/>
      <c r="D128" s="472"/>
      <c r="E128" s="419">
        <f aca="true" t="shared" si="32" ref="E128:L128">E$12*(E100+E94)</f>
        <v>224</v>
      </c>
      <c r="F128" s="419">
        <f t="shared" si="32"/>
        <v>1098.8711152852484</v>
      </c>
      <c r="G128" s="419">
        <f t="shared" si="32"/>
        <v>105.15559094241469</v>
      </c>
      <c r="H128" s="419">
        <f t="shared" si="32"/>
        <v>12895.845435591918</v>
      </c>
      <c r="I128" s="419">
        <f t="shared" si="32"/>
        <v>16049.781336646682</v>
      </c>
      <c r="J128" s="419">
        <f t="shared" si="32"/>
        <v>148.6336560627017</v>
      </c>
      <c r="K128" s="419">
        <f t="shared" si="32"/>
        <v>6920</v>
      </c>
      <c r="L128" s="419">
        <f t="shared" si="32"/>
        <v>759.6017162416533</v>
      </c>
      <c r="M128" s="404">
        <f t="shared" si="27"/>
        <v>38201.88885077062</v>
      </c>
      <c r="N128" s="55"/>
      <c r="O128" s="415"/>
      <c r="P128" s="415"/>
      <c r="Q128" s="55"/>
      <c r="R128" s="415"/>
      <c r="S128" s="415"/>
      <c r="T128" s="55"/>
      <c r="U128" s="415"/>
      <c r="V128" s="415"/>
      <c r="W128" s="415"/>
      <c r="X128" s="415"/>
    </row>
    <row r="129" spans="2:24" ht="12.75" outlineLevel="1">
      <c r="B129" s="447" t="s">
        <v>275</v>
      </c>
      <c r="C129" s="447"/>
      <c r="D129" s="447"/>
      <c r="E129" s="55"/>
      <c r="F129" s="55"/>
      <c r="G129" s="50"/>
      <c r="H129" s="50"/>
      <c r="I129" s="55"/>
      <c r="J129" s="55"/>
      <c r="K129" s="50"/>
      <c r="L129" s="50"/>
      <c r="M129" s="48"/>
      <c r="N129" s="48"/>
      <c r="O129" s="412"/>
      <c r="P129" s="412"/>
      <c r="Q129" s="48"/>
      <c r="R129" s="412"/>
      <c r="S129" s="412"/>
      <c r="T129" s="48"/>
      <c r="U129" s="412"/>
      <c r="V129" s="412"/>
      <c r="W129" s="412"/>
      <c r="X129" s="412"/>
    </row>
    <row r="130" spans="2:24" ht="12.75" outlineLevel="1">
      <c r="B130" s="448" t="s">
        <v>252</v>
      </c>
      <c r="C130" s="448"/>
      <c r="D130" s="448"/>
      <c r="E130" s="55"/>
      <c r="F130" s="55"/>
      <c r="G130" s="50"/>
      <c r="H130" s="50"/>
      <c r="I130" s="55"/>
      <c r="J130" s="55"/>
      <c r="K130" s="50"/>
      <c r="L130" s="50"/>
      <c r="M130" s="48"/>
      <c r="N130" s="48"/>
      <c r="O130" s="412"/>
      <c r="P130" s="412"/>
      <c r="Q130" s="48"/>
      <c r="R130" s="412"/>
      <c r="S130" s="412"/>
      <c r="T130" s="48"/>
      <c r="U130" s="412"/>
      <c r="V130" s="412"/>
      <c r="W130" s="412"/>
      <c r="X130" s="412"/>
    </row>
    <row r="131" spans="2:24" ht="12.75" outlineLevel="1">
      <c r="B131" s="447" t="s">
        <v>275</v>
      </c>
      <c r="C131" s="447"/>
      <c r="D131" s="447"/>
      <c r="E131" s="52"/>
      <c r="F131" s="52"/>
      <c r="G131" s="50"/>
      <c r="H131" s="50"/>
      <c r="I131" s="55"/>
      <c r="J131" s="55"/>
      <c r="K131" s="50"/>
      <c r="L131" s="50"/>
      <c r="M131" s="48"/>
      <c r="N131" s="48"/>
      <c r="O131" s="412"/>
      <c r="P131" s="412"/>
      <c r="Q131" s="48"/>
      <c r="R131" s="412"/>
      <c r="S131" s="412"/>
      <c r="T131" s="48"/>
      <c r="U131" s="412"/>
      <c r="V131" s="412"/>
      <c r="W131" s="412"/>
      <c r="X131" s="412"/>
    </row>
    <row r="132" spans="2:24" ht="12.75" outlineLevel="1">
      <c r="B132" s="446" t="s">
        <v>404</v>
      </c>
      <c r="C132" s="446"/>
      <c r="D132" s="446"/>
      <c r="E132" s="276">
        <f>PAV!E119</f>
        <v>21440</v>
      </c>
      <c r="F132" s="276">
        <f>PAV!J119</f>
        <v>81115.33333333333</v>
      </c>
      <c r="G132" s="276">
        <f>PAV!AD119</f>
        <v>40214.5</v>
      </c>
      <c r="H132" s="276">
        <f>O132+P132</f>
        <v>889264</v>
      </c>
      <c r="I132" s="276">
        <f>R132+S132</f>
        <v>713241</v>
      </c>
      <c r="J132" s="276">
        <f>PAV!AS119</f>
        <v>17296</v>
      </c>
      <c r="K132" s="276">
        <f>PAV!O119</f>
        <v>726649</v>
      </c>
      <c r="L132" s="276">
        <f>PAV!AX119</f>
        <v>22644</v>
      </c>
      <c r="M132" s="404">
        <f aca="true" t="shared" si="33" ref="M132:M137">SUM(E132:L132)</f>
        <v>2511863.833333333</v>
      </c>
      <c r="N132" s="57"/>
      <c r="O132" s="562">
        <f>PAV!Y119</f>
        <v>874277</v>
      </c>
      <c r="P132" s="562">
        <f>PAV!T119</f>
        <v>14987</v>
      </c>
      <c r="Q132" s="57"/>
      <c r="R132" s="562">
        <f>PAV!AI119</f>
        <v>713241</v>
      </c>
      <c r="S132" s="562"/>
      <c r="T132" s="57"/>
      <c r="U132" s="559">
        <f>PAV!O119</f>
        <v>726649</v>
      </c>
      <c r="V132" s="415"/>
      <c r="W132" s="415"/>
      <c r="X132" s="560">
        <f>PAV!AN119</f>
        <v>8347</v>
      </c>
    </row>
    <row r="133" spans="2:24" ht="12.75" outlineLevel="1">
      <c r="B133" s="446" t="s">
        <v>405</v>
      </c>
      <c r="C133" s="446"/>
      <c r="D133" s="446"/>
      <c r="E133" s="276">
        <f>PAV!E120</f>
        <v>49054</v>
      </c>
      <c r="F133" s="276">
        <f>PAV!J120</f>
        <v>187350.65083333338</v>
      </c>
      <c r="G133" s="276">
        <f>PAV!AD120</f>
        <v>95165.14675916571</v>
      </c>
      <c r="H133" s="276">
        <f aca="true" t="shared" si="34" ref="H133:H139">O133+P133</f>
        <v>2402350</v>
      </c>
      <c r="I133" s="276">
        <f aca="true" t="shared" si="35" ref="I133:I139">R133+S133</f>
        <v>2635276.1177361207</v>
      </c>
      <c r="J133" s="276">
        <f>PAV!AS120</f>
        <v>29252.6</v>
      </c>
      <c r="K133" s="276">
        <f>PAV!O120</f>
        <v>1766882.4124027686</v>
      </c>
      <c r="L133" s="276">
        <f>PAV!AX120</f>
        <v>45318.28727556596</v>
      </c>
      <c r="M133" s="404">
        <f t="shared" si="33"/>
        <v>7210649.215006954</v>
      </c>
      <c r="N133" s="57"/>
      <c r="O133" s="562">
        <f>PAV!Y120</f>
        <v>2357951</v>
      </c>
      <c r="P133" s="562">
        <f>PAV!T120</f>
        <v>44399</v>
      </c>
      <c r="Q133" s="57"/>
      <c r="R133" s="562">
        <f>PAV!AI120</f>
        <v>2635276.1177361207</v>
      </c>
      <c r="S133" s="562"/>
      <c r="T133" s="57"/>
      <c r="U133" s="559">
        <f>PAV!O120</f>
        <v>1766882.4124027686</v>
      </c>
      <c r="V133" s="415"/>
      <c r="W133" s="415"/>
      <c r="X133" s="560">
        <f>PAV!AN120</f>
        <v>35091</v>
      </c>
    </row>
    <row r="134" spans="2:24" ht="12.75" outlineLevel="1">
      <c r="B134" s="446" t="s">
        <v>406</v>
      </c>
      <c r="C134" s="446"/>
      <c r="D134" s="446"/>
      <c r="E134" s="276">
        <f>PAV!E121</f>
        <v>1570</v>
      </c>
      <c r="F134" s="276">
        <f>PAV!J121</f>
        <v>7671.725833333333</v>
      </c>
      <c r="G134" s="276">
        <f>PAV!AD121</f>
        <v>2922.9804776196197</v>
      </c>
      <c r="H134" s="276">
        <f t="shared" si="34"/>
        <v>64972</v>
      </c>
      <c r="I134" s="276">
        <f t="shared" si="35"/>
        <v>109906.48324174318</v>
      </c>
      <c r="J134" s="276">
        <f>PAV!AS121</f>
        <v>1084.5</v>
      </c>
      <c r="K134" s="276">
        <f>PAV!O121</f>
        <v>65706.87601094936</v>
      </c>
      <c r="L134" s="276">
        <f>PAV!AX121</f>
        <v>4410.18389831015</v>
      </c>
      <c r="M134" s="404">
        <f t="shared" si="33"/>
        <v>258244.74946195565</v>
      </c>
      <c r="N134" s="57"/>
      <c r="O134" s="562">
        <f>PAV!Y121</f>
        <v>63442</v>
      </c>
      <c r="P134" s="562">
        <f>PAV!T121</f>
        <v>1530</v>
      </c>
      <c r="Q134" s="57"/>
      <c r="R134" s="562">
        <f>PAV!AI121</f>
        <v>109906.48324174318</v>
      </c>
      <c r="S134" s="562"/>
      <c r="T134" s="57"/>
      <c r="U134" s="559">
        <f>PAV!O121</f>
        <v>65706.87601094936</v>
      </c>
      <c r="V134" s="415"/>
      <c r="W134" s="415"/>
      <c r="X134" s="560">
        <f>PAV!AN121</f>
        <v>1870</v>
      </c>
    </row>
    <row r="135" spans="2:24" ht="12.75" outlineLevel="1">
      <c r="B135" s="446" t="s">
        <v>394</v>
      </c>
      <c r="C135" s="446"/>
      <c r="D135" s="446"/>
      <c r="E135" s="276">
        <f>PAV!E122</f>
        <v>496</v>
      </c>
      <c r="F135" s="276">
        <f>PAV!J122</f>
        <v>1679.1666666666667</v>
      </c>
      <c r="G135" s="276">
        <f>PAV!AD122</f>
        <v>739.7711606757068</v>
      </c>
      <c r="H135" s="276">
        <f t="shared" si="34"/>
        <v>31863</v>
      </c>
      <c r="I135" s="276">
        <f t="shared" si="35"/>
        <v>13735</v>
      </c>
      <c r="J135" s="276">
        <f>PAV!AS122</f>
        <v>215.3</v>
      </c>
      <c r="K135" s="276">
        <f>PAV!O122</f>
        <v>17128.136023627903</v>
      </c>
      <c r="L135" s="276">
        <f>PAV!AX122</f>
        <v>1042.4709068437282</v>
      </c>
      <c r="M135" s="404">
        <f t="shared" si="33"/>
        <v>66898.844757814</v>
      </c>
      <c r="N135" s="57"/>
      <c r="O135" s="562">
        <f>PAV!Y122</f>
        <v>31578</v>
      </c>
      <c r="P135" s="562">
        <f>PAV!T122</f>
        <v>285</v>
      </c>
      <c r="Q135" s="57"/>
      <c r="R135" s="562">
        <f>PAV!AI122</f>
        <v>13735</v>
      </c>
      <c r="S135" s="562"/>
      <c r="T135" s="57"/>
      <c r="U135" s="559">
        <f>PAV!O122</f>
        <v>17128.136023627903</v>
      </c>
      <c r="V135" s="415"/>
      <c r="W135" s="415"/>
      <c r="X135" s="560">
        <f>PAV!AN122</f>
        <v>307</v>
      </c>
    </row>
    <row r="136" spans="2:24" ht="12.75" outlineLevel="1">
      <c r="B136" s="446" t="s">
        <v>397</v>
      </c>
      <c r="C136" s="446"/>
      <c r="D136" s="446"/>
      <c r="E136" s="276">
        <f>PAV!E123</f>
        <v>31</v>
      </c>
      <c r="F136" s="276">
        <f>PAV!J123</f>
        <v>315.25</v>
      </c>
      <c r="G136" s="276">
        <f>PAV!AD123</f>
        <v>581.1253609057519</v>
      </c>
      <c r="H136" s="276">
        <f t="shared" si="34"/>
        <v>9022</v>
      </c>
      <c r="I136" s="276">
        <f t="shared" si="35"/>
        <v>11818</v>
      </c>
      <c r="J136" s="276">
        <f>PAV!AS123</f>
        <v>20</v>
      </c>
      <c r="K136" s="276">
        <f>PAV!O123</f>
        <v>2805.4379714543707</v>
      </c>
      <c r="L136" s="276">
        <f>PAV!AX123</f>
        <v>340.68443398765623</v>
      </c>
      <c r="M136" s="404">
        <f t="shared" si="33"/>
        <v>24933.49776634778</v>
      </c>
      <c r="N136" s="57"/>
      <c r="O136" s="562">
        <f>PAV!Y123</f>
        <v>8949</v>
      </c>
      <c r="P136" s="562">
        <f>PAV!T123</f>
        <v>73</v>
      </c>
      <c r="Q136" s="57"/>
      <c r="R136" s="562">
        <f>PAV!AI123</f>
        <v>11818</v>
      </c>
      <c r="S136" s="562"/>
      <c r="T136" s="57"/>
      <c r="U136" s="559">
        <f>PAV!O123</f>
        <v>2805.4379714543707</v>
      </c>
      <c r="V136" s="415"/>
      <c r="W136" s="415"/>
      <c r="X136" s="560">
        <f>PAV!AN123</f>
        <v>23</v>
      </c>
    </row>
    <row r="137" spans="2:24" ht="12.75" outlineLevel="1">
      <c r="B137" s="446" t="s">
        <v>400</v>
      </c>
      <c r="C137" s="446"/>
      <c r="D137" s="446"/>
      <c r="E137" s="276">
        <f>PAV!E124</f>
        <v>0</v>
      </c>
      <c r="F137" s="276">
        <f>PAV!J124</f>
        <v>37.41666666666666</v>
      </c>
      <c r="G137" s="276">
        <f>PAV!AD124</f>
        <v>0</v>
      </c>
      <c r="H137" s="276">
        <f t="shared" si="34"/>
        <v>938.49</v>
      </c>
      <c r="I137" s="276">
        <f t="shared" si="35"/>
        <v>165</v>
      </c>
      <c r="J137" s="276">
        <f>PAV!AS124</f>
        <v>0</v>
      </c>
      <c r="K137" s="276">
        <f>PAV!O124</f>
        <v>0</v>
      </c>
      <c r="L137" s="276">
        <f>PAV!AX124</f>
        <v>16.858060927577267</v>
      </c>
      <c r="M137" s="404">
        <f t="shared" si="33"/>
        <v>1157.764727594244</v>
      </c>
      <c r="N137" s="57"/>
      <c r="O137" s="562">
        <f>PAV!Y124</f>
        <v>919.49</v>
      </c>
      <c r="P137" s="562">
        <f>PAV!T124</f>
        <v>19</v>
      </c>
      <c r="Q137" s="57"/>
      <c r="R137" s="562">
        <f>PAV!AI124</f>
        <v>165</v>
      </c>
      <c r="S137" s="562"/>
      <c r="T137" s="57"/>
      <c r="U137" s="559">
        <f>PAV!O124</f>
        <v>0</v>
      </c>
      <c r="V137" s="415"/>
      <c r="W137" s="415"/>
      <c r="X137" s="560">
        <f>PAV!AN124</f>
        <v>2</v>
      </c>
    </row>
    <row r="138" spans="2:24" s="45" customFormat="1" ht="12.75" outlineLevel="1">
      <c r="B138" s="447"/>
      <c r="C138" s="447"/>
      <c r="D138" s="447"/>
      <c r="E138" s="488"/>
      <c r="F138" s="57"/>
      <c r="G138" s="488"/>
      <c r="H138" s="57"/>
      <c r="I138" s="57"/>
      <c r="J138" s="488"/>
      <c r="K138" s="488"/>
      <c r="L138" s="57"/>
      <c r="M138" s="57"/>
      <c r="N138" s="57"/>
      <c r="O138" s="416"/>
      <c r="P138" s="416"/>
      <c r="Q138" s="57"/>
      <c r="R138" s="416"/>
      <c r="S138" s="416"/>
      <c r="T138" s="57"/>
      <c r="U138" s="416"/>
      <c r="V138" s="416"/>
      <c r="W138" s="416"/>
      <c r="X138" s="416"/>
    </row>
    <row r="139" spans="2:24" ht="12.75" outlineLevel="1">
      <c r="B139" s="447" t="s">
        <v>255</v>
      </c>
      <c r="C139" s="447"/>
      <c r="D139" s="447"/>
      <c r="E139" s="276">
        <f>PAV!B237</f>
        <v>0</v>
      </c>
      <c r="F139" s="276">
        <f>PAV!C237</f>
        <v>104124</v>
      </c>
      <c r="G139" s="276">
        <f>PAV!D237</f>
        <v>0</v>
      </c>
      <c r="H139" s="276">
        <f t="shared" si="34"/>
        <v>0</v>
      </c>
      <c r="I139" s="276">
        <f t="shared" si="35"/>
        <v>532006</v>
      </c>
      <c r="J139" s="276">
        <f>PAV!G237</f>
        <v>5615</v>
      </c>
      <c r="K139" s="276">
        <f>PAV!H237</f>
        <v>1250336.59</v>
      </c>
      <c r="L139" s="276">
        <f>PAV!I237</f>
        <v>1533.33333333333</v>
      </c>
      <c r="M139" s="404">
        <f>SUM(E139:L139)</f>
        <v>1893614.9233333333</v>
      </c>
      <c r="N139" s="57"/>
      <c r="O139" s="562">
        <f>PAV!E237</f>
        <v>0</v>
      </c>
      <c r="P139" s="562">
        <f>PAV!K237</f>
        <v>0</v>
      </c>
      <c r="Q139" s="57"/>
      <c r="R139" s="562">
        <f>PAV!F237</f>
        <v>532006</v>
      </c>
      <c r="S139" s="562"/>
      <c r="T139" s="57"/>
      <c r="U139" s="559">
        <f>PAV!H237</f>
        <v>1250336.59</v>
      </c>
      <c r="V139" s="415"/>
      <c r="W139" s="415"/>
      <c r="X139" s="560">
        <f>PAV!M237</f>
        <v>0</v>
      </c>
    </row>
    <row r="140" spans="2:24" ht="12.75" outlineLevel="1">
      <c r="B140" s="447" t="s">
        <v>275</v>
      </c>
      <c r="C140" s="447"/>
      <c r="D140" s="44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416"/>
      <c r="P140" s="416"/>
      <c r="Q140" s="57"/>
      <c r="R140" s="416"/>
      <c r="S140" s="416"/>
      <c r="T140" s="57"/>
      <c r="U140" s="416"/>
      <c r="V140" s="416"/>
      <c r="W140" s="416"/>
      <c r="X140" s="416"/>
    </row>
    <row r="141" spans="2:24" ht="12.75" outlineLevel="1">
      <c r="B141" s="448"/>
      <c r="C141" s="448"/>
      <c r="D141" s="448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416"/>
      <c r="P141" s="416"/>
      <c r="Q141" s="57"/>
      <c r="R141" s="416"/>
      <c r="S141" s="416"/>
      <c r="T141" s="57"/>
      <c r="U141" s="416"/>
      <c r="V141" s="416"/>
      <c r="W141" s="416"/>
      <c r="X141" s="416"/>
    </row>
    <row r="142" spans="5:24" ht="12.75"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489"/>
      <c r="P142" s="489"/>
      <c r="Q142" s="71"/>
      <c r="R142" s="489"/>
      <c r="S142" s="489"/>
      <c r="T142" s="71"/>
      <c r="U142" s="489"/>
      <c r="V142" s="489"/>
      <c r="W142" s="489"/>
      <c r="X142" s="489"/>
    </row>
    <row r="143" spans="2:24" s="42" customFormat="1" ht="12.75">
      <c r="B143" s="83">
        <v>2007</v>
      </c>
      <c r="C143" s="83"/>
      <c r="D143" s="83"/>
      <c r="E143" s="485"/>
      <c r="F143" s="485"/>
      <c r="G143" s="485"/>
      <c r="H143" s="485"/>
      <c r="I143" s="485"/>
      <c r="J143" s="485"/>
      <c r="K143" s="485"/>
      <c r="L143" s="485"/>
      <c r="M143" s="485"/>
      <c r="N143" s="485"/>
      <c r="O143" s="486"/>
      <c r="P143" s="486"/>
      <c r="Q143" s="485"/>
      <c r="R143" s="486"/>
      <c r="S143" s="486"/>
      <c r="T143" s="485"/>
      <c r="U143" s="486"/>
      <c r="V143" s="486"/>
      <c r="W143" s="486"/>
      <c r="X143" s="486"/>
    </row>
    <row r="144" spans="5:24" ht="12.75"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12"/>
      <c r="P144" s="412"/>
      <c r="Q144" s="48"/>
      <c r="R144" s="412"/>
      <c r="S144" s="412"/>
      <c r="T144" s="48"/>
      <c r="U144" s="412"/>
      <c r="V144" s="412"/>
      <c r="W144" s="412"/>
      <c r="X144" s="412"/>
    </row>
    <row r="145" spans="2:24" ht="12.75" outlineLevel="1">
      <c r="B145" s="448" t="s">
        <v>229</v>
      </c>
      <c r="C145" s="447"/>
      <c r="D145" s="447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487"/>
      <c r="P145" s="487"/>
      <c r="Q145" s="70"/>
      <c r="R145" s="487"/>
      <c r="S145" s="487"/>
      <c r="T145" s="70"/>
      <c r="U145" s="487"/>
      <c r="V145" s="487"/>
      <c r="W145" s="487"/>
      <c r="X145" s="487"/>
    </row>
    <row r="146" spans="2:24" ht="12.75" outlineLevel="1">
      <c r="B146" s="447" t="s">
        <v>230</v>
      </c>
      <c r="C146" s="447"/>
      <c r="D146" s="447"/>
      <c r="E146" s="46">
        <v>0</v>
      </c>
      <c r="F146" s="46">
        <v>10</v>
      </c>
      <c r="G146" s="47">
        <v>0</v>
      </c>
      <c r="H146" s="404">
        <f aca="true" t="shared" si="36" ref="H146:H151">O146+P146</f>
        <v>20</v>
      </c>
      <c r="I146" s="404">
        <f aca="true" t="shared" si="37" ref="I146:I151">R146+S146</f>
        <v>20.237628461147285</v>
      </c>
      <c r="J146" s="46">
        <v>0</v>
      </c>
      <c r="K146" s="404">
        <f aca="true" t="shared" si="38" ref="K146:K151">SUM(U146:X146)</f>
        <v>2</v>
      </c>
      <c r="L146" s="47">
        <v>0</v>
      </c>
      <c r="M146" s="404">
        <f aca="true" t="shared" si="39" ref="M146:M151">SUM(E146:L146)</f>
        <v>52.23762846114728</v>
      </c>
      <c r="N146" s="48"/>
      <c r="O146" s="420">
        <v>20</v>
      </c>
      <c r="P146" s="420"/>
      <c r="Q146" s="48"/>
      <c r="R146" s="420">
        <v>20.237628461147285</v>
      </c>
      <c r="S146" s="420"/>
      <c r="T146" s="48"/>
      <c r="U146" s="413">
        <v>2</v>
      </c>
      <c r="V146" s="425"/>
      <c r="W146" s="425"/>
      <c r="X146" s="420"/>
    </row>
    <row r="147" spans="2:24" ht="12.75" outlineLevel="1">
      <c r="B147" s="472"/>
      <c r="C147" s="472"/>
      <c r="D147" s="472"/>
      <c r="E147" s="101"/>
      <c r="F147" s="101"/>
      <c r="G147" s="50"/>
      <c r="H147" s="48"/>
      <c r="I147" s="48"/>
      <c r="J147" s="101"/>
      <c r="K147" s="48"/>
      <c r="L147" s="50"/>
      <c r="M147" s="48"/>
      <c r="N147" s="48"/>
      <c r="O147" s="425"/>
      <c r="P147" s="425"/>
      <c r="Q147" s="48"/>
      <c r="R147" s="425"/>
      <c r="S147" s="425"/>
      <c r="T147" s="48"/>
      <c r="U147" s="414"/>
      <c r="V147" s="425"/>
      <c r="W147" s="425"/>
      <c r="X147" s="425"/>
    </row>
    <row r="148" spans="2:24" ht="12.75" outlineLevel="1">
      <c r="B148" s="447" t="s">
        <v>231</v>
      </c>
      <c r="C148" s="447"/>
      <c r="D148" s="447"/>
      <c r="E148" s="46">
        <v>0</v>
      </c>
      <c r="F148" s="46">
        <v>747651.9981837171</v>
      </c>
      <c r="G148" s="47">
        <v>0</v>
      </c>
      <c r="H148" s="404">
        <f t="shared" si="36"/>
        <v>887205</v>
      </c>
      <c r="I148" s="404">
        <f t="shared" si="37"/>
        <v>752748.9059134944</v>
      </c>
      <c r="J148" s="46">
        <v>0</v>
      </c>
      <c r="K148" s="404">
        <f t="shared" si="38"/>
        <v>262176.2428219853</v>
      </c>
      <c r="L148" s="47">
        <v>0</v>
      </c>
      <c r="M148" s="404">
        <f t="shared" si="39"/>
        <v>2649782.146919197</v>
      </c>
      <c r="N148" s="48"/>
      <c r="O148" s="420">
        <v>887205</v>
      </c>
      <c r="P148" s="420"/>
      <c r="Q148" s="48"/>
      <c r="R148" s="420">
        <v>752748.9059134944</v>
      </c>
      <c r="S148" s="420"/>
      <c r="T148" s="48"/>
      <c r="U148" s="413">
        <v>262176.2428219853</v>
      </c>
      <c r="V148" s="425"/>
      <c r="W148" s="425"/>
      <c r="X148" s="420"/>
    </row>
    <row r="149" spans="2:24" ht="12.75" outlineLevel="1">
      <c r="B149" s="447" t="s">
        <v>232</v>
      </c>
      <c r="C149" s="447"/>
      <c r="D149" s="447"/>
      <c r="E149" s="46">
        <v>0</v>
      </c>
      <c r="F149" s="46">
        <v>7967055.262407483</v>
      </c>
      <c r="G149" s="47">
        <v>0</v>
      </c>
      <c r="H149" s="404">
        <f t="shared" si="36"/>
        <v>7488084</v>
      </c>
      <c r="I149" s="404">
        <f t="shared" si="37"/>
        <v>7904807.585584848</v>
      </c>
      <c r="J149" s="46">
        <v>0</v>
      </c>
      <c r="K149" s="404">
        <f t="shared" si="38"/>
        <v>2877817.082251082</v>
      </c>
      <c r="L149" s="47">
        <v>0</v>
      </c>
      <c r="M149" s="404">
        <f t="shared" si="39"/>
        <v>26237763.930243414</v>
      </c>
      <c r="N149" s="48"/>
      <c r="O149" s="420">
        <v>7488084</v>
      </c>
      <c r="P149" s="420"/>
      <c r="Q149" s="48"/>
      <c r="R149" s="420">
        <v>7904807.585584848</v>
      </c>
      <c r="S149" s="420"/>
      <c r="T149" s="48"/>
      <c r="U149" s="413">
        <v>2877817.082251082</v>
      </c>
      <c r="V149" s="425"/>
      <c r="W149" s="425"/>
      <c r="X149" s="420"/>
    </row>
    <row r="150" spans="2:24" ht="12.75" outlineLevel="1">
      <c r="B150" s="472"/>
      <c r="C150" s="472"/>
      <c r="D150" s="472"/>
      <c r="E150" s="101"/>
      <c r="F150" s="101"/>
      <c r="G150" s="50"/>
      <c r="H150" s="48"/>
      <c r="I150" s="48"/>
      <c r="J150" s="101"/>
      <c r="K150" s="48"/>
      <c r="L150" s="50"/>
      <c r="M150" s="48"/>
      <c r="N150" s="48"/>
      <c r="O150" s="425"/>
      <c r="P150" s="425"/>
      <c r="Q150" s="48"/>
      <c r="R150" s="425"/>
      <c r="S150" s="425"/>
      <c r="T150" s="48"/>
      <c r="U150" s="414"/>
      <c r="V150" s="425"/>
      <c r="W150" s="425"/>
      <c r="X150" s="425"/>
    </row>
    <row r="151" spans="2:24" ht="12.75" outlineLevel="1">
      <c r="B151" s="447" t="s">
        <v>234</v>
      </c>
      <c r="C151" s="447"/>
      <c r="D151" s="447"/>
      <c r="E151" s="46">
        <v>0</v>
      </c>
      <c r="F151" s="46">
        <v>0</v>
      </c>
      <c r="G151" s="47">
        <v>0</v>
      </c>
      <c r="H151" s="404">
        <f t="shared" si="36"/>
        <v>68527627</v>
      </c>
      <c r="I151" s="404">
        <f t="shared" si="37"/>
        <v>0</v>
      </c>
      <c r="J151" s="46">
        <v>0</v>
      </c>
      <c r="K151" s="404">
        <f t="shared" si="38"/>
        <v>0</v>
      </c>
      <c r="L151" s="47">
        <v>0</v>
      </c>
      <c r="M151" s="404">
        <f t="shared" si="39"/>
        <v>68527627</v>
      </c>
      <c r="N151" s="48"/>
      <c r="O151" s="420">
        <v>68527627</v>
      </c>
      <c r="P151" s="420"/>
      <c r="Q151" s="48"/>
      <c r="R151" s="420">
        <v>0</v>
      </c>
      <c r="S151" s="420"/>
      <c r="T151" s="48"/>
      <c r="U151" s="413">
        <v>0</v>
      </c>
      <c r="V151" s="425"/>
      <c r="W151" s="425"/>
      <c r="X151" s="420"/>
    </row>
    <row r="152" spans="2:24" ht="12.75" outlineLevel="1">
      <c r="B152" s="447" t="s">
        <v>275</v>
      </c>
      <c r="C152" s="447"/>
      <c r="D152" s="447"/>
      <c r="E152" s="49"/>
      <c r="F152" s="49"/>
      <c r="G152" s="50"/>
      <c r="H152" s="48"/>
      <c r="I152" s="48"/>
      <c r="J152" s="49"/>
      <c r="K152" s="48"/>
      <c r="L152" s="50"/>
      <c r="M152" s="48"/>
      <c r="N152" s="48"/>
      <c r="O152" s="421"/>
      <c r="P152" s="421"/>
      <c r="Q152" s="48"/>
      <c r="R152" s="421"/>
      <c r="S152" s="421"/>
      <c r="T152" s="48"/>
      <c r="U152" s="414"/>
      <c r="V152" s="421"/>
      <c r="W152" s="421"/>
      <c r="X152" s="421"/>
    </row>
    <row r="153" spans="2:24" ht="12.75" outlineLevel="1">
      <c r="B153" s="448" t="s">
        <v>235</v>
      </c>
      <c r="C153" s="447"/>
      <c r="D153" s="447"/>
      <c r="E153" s="49"/>
      <c r="F153" s="49"/>
      <c r="G153" s="50"/>
      <c r="H153" s="48"/>
      <c r="I153" s="48"/>
      <c r="J153" s="49"/>
      <c r="K153" s="48"/>
      <c r="L153" s="50"/>
      <c r="M153" s="48"/>
      <c r="N153" s="48"/>
      <c r="O153" s="421"/>
      <c r="P153" s="421"/>
      <c r="Q153" s="48"/>
      <c r="R153" s="421"/>
      <c r="S153" s="421"/>
      <c r="T153" s="48"/>
      <c r="U153" s="414"/>
      <c r="V153" s="421"/>
      <c r="W153" s="421"/>
      <c r="X153" s="421"/>
    </row>
    <row r="154" spans="2:24" ht="12.75" outlineLevel="1">
      <c r="B154" s="447" t="s">
        <v>230</v>
      </c>
      <c r="C154" s="447"/>
      <c r="D154" s="447"/>
      <c r="E154" s="51">
        <v>0</v>
      </c>
      <c r="F154" s="51">
        <v>0</v>
      </c>
      <c r="G154" s="47">
        <v>0</v>
      </c>
      <c r="H154" s="404">
        <f aca="true" t="shared" si="40" ref="H154:H159">O154+P154</f>
        <v>23</v>
      </c>
      <c r="I154" s="404">
        <f aca="true" t="shared" si="41" ref="I154:I159">R154+S154</f>
        <v>12</v>
      </c>
      <c r="J154" s="51">
        <v>0</v>
      </c>
      <c r="K154" s="404">
        <f aca="true" t="shared" si="42" ref="K154:K159">SUM(U154:X154)</f>
        <v>4</v>
      </c>
      <c r="L154" s="47">
        <v>0</v>
      </c>
      <c r="M154" s="404">
        <f aca="true" t="shared" si="43" ref="M154:M159">SUM(E154:L154)</f>
        <v>39</v>
      </c>
      <c r="N154" s="48"/>
      <c r="O154" s="422">
        <v>23</v>
      </c>
      <c r="P154" s="422"/>
      <c r="Q154" s="48"/>
      <c r="R154" s="422">
        <v>12</v>
      </c>
      <c r="S154" s="422"/>
      <c r="T154" s="48"/>
      <c r="U154" s="413">
        <v>4</v>
      </c>
      <c r="V154" s="426"/>
      <c r="W154" s="426"/>
      <c r="X154" s="422"/>
    </row>
    <row r="155" spans="2:24" ht="12.75" outlineLevel="1">
      <c r="B155" s="472"/>
      <c r="C155" s="472"/>
      <c r="D155" s="472"/>
      <c r="E155" s="555"/>
      <c r="F155" s="555"/>
      <c r="G155" s="50"/>
      <c r="H155" s="48"/>
      <c r="I155" s="48"/>
      <c r="J155" s="555"/>
      <c r="K155" s="48"/>
      <c r="L155" s="50"/>
      <c r="M155" s="48"/>
      <c r="N155" s="48"/>
      <c r="O155" s="426"/>
      <c r="P155" s="426"/>
      <c r="Q155" s="48"/>
      <c r="R155" s="426"/>
      <c r="S155" s="426"/>
      <c r="T155" s="48"/>
      <c r="U155" s="414"/>
      <c r="V155" s="426"/>
      <c r="W155" s="426"/>
      <c r="X155" s="426"/>
    </row>
    <row r="156" spans="2:24" ht="12.75" outlineLevel="1">
      <c r="B156" s="447" t="s">
        <v>231</v>
      </c>
      <c r="C156" s="447"/>
      <c r="D156" s="447"/>
      <c r="E156" s="51">
        <v>0</v>
      </c>
      <c r="F156" s="51">
        <v>12652</v>
      </c>
      <c r="G156" s="47">
        <v>0</v>
      </c>
      <c r="H156" s="404">
        <f t="shared" si="40"/>
        <v>217408</v>
      </c>
      <c r="I156" s="404">
        <f t="shared" si="41"/>
        <v>75310.91666666666</v>
      </c>
      <c r="J156" s="51">
        <v>0</v>
      </c>
      <c r="K156" s="404">
        <f t="shared" si="42"/>
        <v>21228.168852491184</v>
      </c>
      <c r="L156" s="47">
        <v>0</v>
      </c>
      <c r="M156" s="404">
        <f t="shared" si="43"/>
        <v>326599.0855191578</v>
      </c>
      <c r="N156" s="48"/>
      <c r="O156" s="422">
        <v>217408</v>
      </c>
      <c r="P156" s="422"/>
      <c r="Q156" s="48"/>
      <c r="R156" s="422">
        <v>75310.91666666666</v>
      </c>
      <c r="S156" s="422"/>
      <c r="T156" s="48"/>
      <c r="U156" s="413">
        <v>21228.168852491184</v>
      </c>
      <c r="V156" s="426"/>
      <c r="W156" s="426"/>
      <c r="X156" s="422"/>
    </row>
    <row r="157" spans="2:24" ht="12.75" outlineLevel="1">
      <c r="B157" s="447" t="s">
        <v>236</v>
      </c>
      <c r="C157" s="447"/>
      <c r="D157" s="447"/>
      <c r="E157" s="51">
        <v>0</v>
      </c>
      <c r="F157" s="51">
        <v>151340</v>
      </c>
      <c r="G157" s="47">
        <v>0</v>
      </c>
      <c r="H157" s="404">
        <f t="shared" si="40"/>
        <v>2264640</v>
      </c>
      <c r="I157" s="404">
        <f t="shared" si="41"/>
        <v>1284087.9166666667</v>
      </c>
      <c r="J157" s="51">
        <v>0</v>
      </c>
      <c r="K157" s="404">
        <f t="shared" si="42"/>
        <v>176227.97137621106</v>
      </c>
      <c r="L157" s="47">
        <v>0</v>
      </c>
      <c r="M157" s="404">
        <f t="shared" si="43"/>
        <v>3876295.888042878</v>
      </c>
      <c r="N157" s="48"/>
      <c r="O157" s="422">
        <v>2264640</v>
      </c>
      <c r="P157" s="422"/>
      <c r="Q157" s="48"/>
      <c r="R157" s="422">
        <v>1284087.9166666667</v>
      </c>
      <c r="S157" s="422"/>
      <c r="T157" s="48"/>
      <c r="U157" s="413">
        <v>176227.97137621106</v>
      </c>
      <c r="V157" s="426"/>
      <c r="W157" s="426"/>
      <c r="X157" s="422"/>
    </row>
    <row r="158" spans="2:24" ht="12.75" outlineLevel="1">
      <c r="B158" s="472"/>
      <c r="C158" s="472"/>
      <c r="D158" s="472"/>
      <c r="E158" s="555"/>
      <c r="F158" s="555"/>
      <c r="G158" s="50"/>
      <c r="H158" s="48"/>
      <c r="I158" s="48"/>
      <c r="J158" s="555"/>
      <c r="K158" s="48"/>
      <c r="L158" s="50"/>
      <c r="M158" s="48"/>
      <c r="N158" s="48"/>
      <c r="O158" s="426"/>
      <c r="P158" s="426"/>
      <c r="Q158" s="48"/>
      <c r="R158" s="426"/>
      <c r="S158" s="426"/>
      <c r="T158" s="48"/>
      <c r="U158" s="414"/>
      <c r="V158" s="426"/>
      <c r="W158" s="426"/>
      <c r="X158" s="426"/>
    </row>
    <row r="159" spans="2:24" ht="12.75" outlineLevel="1">
      <c r="B159" s="447" t="s">
        <v>234</v>
      </c>
      <c r="C159" s="447"/>
      <c r="D159" s="447"/>
      <c r="E159" s="51">
        <v>0</v>
      </c>
      <c r="F159" s="51">
        <v>0</v>
      </c>
      <c r="G159" s="47">
        <v>0</v>
      </c>
      <c r="H159" s="404">
        <f t="shared" si="40"/>
        <v>22701443</v>
      </c>
      <c r="I159" s="404">
        <f t="shared" si="41"/>
        <v>0</v>
      </c>
      <c r="J159" s="51">
        <v>0</v>
      </c>
      <c r="K159" s="404">
        <f t="shared" si="42"/>
        <v>1967888.1889763777</v>
      </c>
      <c r="L159" s="47">
        <v>0</v>
      </c>
      <c r="M159" s="404">
        <f t="shared" si="43"/>
        <v>24669331.188976377</v>
      </c>
      <c r="N159" s="48"/>
      <c r="O159" s="422">
        <v>22701443</v>
      </c>
      <c r="P159" s="422"/>
      <c r="Q159" s="48"/>
      <c r="R159" s="422">
        <v>0</v>
      </c>
      <c r="S159" s="422"/>
      <c r="T159" s="48"/>
      <c r="U159" s="413">
        <v>1967888.1889763777</v>
      </c>
      <c r="V159" s="426"/>
      <c r="W159" s="426"/>
      <c r="X159" s="422"/>
    </row>
    <row r="160" spans="2:24" ht="12.75" outlineLevel="1">
      <c r="B160" s="447" t="s">
        <v>275</v>
      </c>
      <c r="C160" s="447"/>
      <c r="D160" s="447"/>
      <c r="E160" s="49"/>
      <c r="F160" s="49"/>
      <c r="G160" s="50"/>
      <c r="H160" s="48"/>
      <c r="I160" s="48"/>
      <c r="J160" s="49"/>
      <c r="K160" s="48"/>
      <c r="L160" s="50"/>
      <c r="M160" s="48"/>
      <c r="N160" s="48"/>
      <c r="O160" s="421"/>
      <c r="P160" s="421"/>
      <c r="Q160" s="48"/>
      <c r="R160" s="421"/>
      <c r="S160" s="421"/>
      <c r="T160" s="48"/>
      <c r="U160" s="414"/>
      <c r="V160" s="421"/>
      <c r="W160" s="421"/>
      <c r="X160" s="421"/>
    </row>
    <row r="161" spans="2:24" ht="12.75" outlineLevel="1">
      <c r="B161" s="448" t="s">
        <v>237</v>
      </c>
      <c r="C161" s="447"/>
      <c r="D161" s="447"/>
      <c r="E161" s="49"/>
      <c r="F161" s="49"/>
      <c r="G161" s="50"/>
      <c r="H161" s="48"/>
      <c r="I161" s="48"/>
      <c r="J161" s="49"/>
      <c r="K161" s="48"/>
      <c r="L161" s="50"/>
      <c r="M161" s="48"/>
      <c r="N161" s="48"/>
      <c r="O161" s="421"/>
      <c r="P161" s="421"/>
      <c r="Q161" s="48"/>
      <c r="R161" s="421"/>
      <c r="S161" s="421"/>
      <c r="T161" s="48"/>
      <c r="U161" s="414"/>
      <c r="V161" s="421"/>
      <c r="W161" s="421"/>
      <c r="X161" s="421"/>
    </row>
    <row r="162" spans="2:24" ht="12.75" outlineLevel="1">
      <c r="B162" s="447" t="s">
        <v>230</v>
      </c>
      <c r="C162" s="447"/>
      <c r="D162" s="447"/>
      <c r="E162" s="51">
        <v>0</v>
      </c>
      <c r="F162" s="51">
        <v>0</v>
      </c>
      <c r="G162" s="47">
        <v>0</v>
      </c>
      <c r="H162" s="404">
        <f aca="true" t="shared" si="44" ref="H162:H167">O162+P162</f>
        <v>0</v>
      </c>
      <c r="I162" s="404">
        <f aca="true" t="shared" si="45" ref="I162:I167">R162+S162</f>
        <v>9.582345449728557</v>
      </c>
      <c r="J162" s="51">
        <v>0</v>
      </c>
      <c r="K162" s="404">
        <f aca="true" t="shared" si="46" ref="K162:K167">SUM(U162:X162)</f>
        <v>63.151442028985514</v>
      </c>
      <c r="L162" s="47">
        <v>0</v>
      </c>
      <c r="M162" s="404">
        <f aca="true" t="shared" si="47" ref="M162:M167">SUM(E162:L162)</f>
        <v>72.73378747871408</v>
      </c>
      <c r="N162" s="48"/>
      <c r="O162" s="422">
        <v>0</v>
      </c>
      <c r="P162" s="422"/>
      <c r="Q162" s="48"/>
      <c r="R162" s="422">
        <v>9.582345449728557</v>
      </c>
      <c r="S162" s="422"/>
      <c r="T162" s="48"/>
      <c r="U162" s="413">
        <v>62.151442028985514</v>
      </c>
      <c r="V162" s="426"/>
      <c r="W162" s="426"/>
      <c r="X162" s="422">
        <v>1</v>
      </c>
    </row>
    <row r="163" spans="2:24" ht="12.75" outlineLevel="1">
      <c r="B163" s="472"/>
      <c r="C163" s="472"/>
      <c r="D163" s="472"/>
      <c r="E163" s="555"/>
      <c r="F163" s="555"/>
      <c r="G163" s="50"/>
      <c r="H163" s="48"/>
      <c r="I163" s="48"/>
      <c r="J163" s="555"/>
      <c r="K163" s="48"/>
      <c r="L163" s="50"/>
      <c r="M163" s="48"/>
      <c r="N163" s="48"/>
      <c r="O163" s="426"/>
      <c r="P163" s="426"/>
      <c r="Q163" s="48"/>
      <c r="R163" s="426"/>
      <c r="S163" s="426"/>
      <c r="T163" s="48"/>
      <c r="U163" s="414"/>
      <c r="V163" s="426"/>
      <c r="W163" s="426"/>
      <c r="X163" s="426"/>
    </row>
    <row r="164" spans="2:24" ht="12.75" outlineLevel="1">
      <c r="B164" s="447" t="s">
        <v>231</v>
      </c>
      <c r="C164" s="447"/>
      <c r="D164" s="447"/>
      <c r="E164" s="51">
        <v>0</v>
      </c>
      <c r="F164" s="51">
        <v>0</v>
      </c>
      <c r="G164" s="47">
        <v>0</v>
      </c>
      <c r="H164" s="404">
        <f t="shared" si="44"/>
        <v>0</v>
      </c>
      <c r="I164" s="404">
        <f t="shared" si="45"/>
        <v>55045.01362257652</v>
      </c>
      <c r="J164" s="51">
        <v>0</v>
      </c>
      <c r="K164" s="404">
        <f t="shared" si="46"/>
        <v>629418.5406178491</v>
      </c>
      <c r="L164" s="47">
        <v>0</v>
      </c>
      <c r="M164" s="404">
        <f t="shared" si="47"/>
        <v>684463.5542404256</v>
      </c>
      <c r="N164" s="48"/>
      <c r="O164" s="422">
        <v>0</v>
      </c>
      <c r="P164" s="422"/>
      <c r="Q164" s="48"/>
      <c r="R164" s="422">
        <v>55045.01362257652</v>
      </c>
      <c r="S164" s="422"/>
      <c r="T164" s="48"/>
      <c r="U164" s="413">
        <v>624018.5406178491</v>
      </c>
      <c r="V164" s="426"/>
      <c r="W164" s="426"/>
      <c r="X164" s="422">
        <v>5400</v>
      </c>
    </row>
    <row r="165" spans="2:24" ht="12.75" outlineLevel="1">
      <c r="B165" s="447" t="s">
        <v>232</v>
      </c>
      <c r="C165" s="447"/>
      <c r="D165" s="447"/>
      <c r="E165" s="51">
        <v>0</v>
      </c>
      <c r="F165" s="51">
        <v>0</v>
      </c>
      <c r="G165" s="47">
        <v>0</v>
      </c>
      <c r="H165" s="404">
        <f t="shared" si="44"/>
        <v>0</v>
      </c>
      <c r="I165" s="404">
        <f t="shared" si="45"/>
        <v>524252.5539609521</v>
      </c>
      <c r="J165" s="51">
        <v>0</v>
      </c>
      <c r="K165" s="404">
        <f t="shared" si="46"/>
        <v>5337677.4503225805</v>
      </c>
      <c r="L165" s="47">
        <v>0</v>
      </c>
      <c r="M165" s="404">
        <f t="shared" si="47"/>
        <v>5861930.0042835325</v>
      </c>
      <c r="N165" s="48"/>
      <c r="O165" s="422">
        <v>0</v>
      </c>
      <c r="P165" s="422"/>
      <c r="Q165" s="48"/>
      <c r="R165" s="422">
        <v>524252.5539609521</v>
      </c>
      <c r="S165" s="422"/>
      <c r="T165" s="48"/>
      <c r="U165" s="413">
        <v>5291493.4503225805</v>
      </c>
      <c r="V165" s="426"/>
      <c r="W165" s="426"/>
      <c r="X165" s="422">
        <v>46184</v>
      </c>
    </row>
    <row r="166" spans="2:24" ht="12.75" outlineLevel="1">
      <c r="B166" s="472"/>
      <c r="C166" s="472"/>
      <c r="D166" s="472"/>
      <c r="E166" s="555"/>
      <c r="F166" s="555"/>
      <c r="G166" s="50"/>
      <c r="H166" s="48"/>
      <c r="I166" s="48"/>
      <c r="J166" s="555"/>
      <c r="K166" s="48"/>
      <c r="L166" s="50"/>
      <c r="M166" s="48"/>
      <c r="N166" s="48"/>
      <c r="O166" s="426"/>
      <c r="P166" s="426"/>
      <c r="Q166" s="48"/>
      <c r="R166" s="426"/>
      <c r="S166" s="426"/>
      <c r="T166" s="48"/>
      <c r="U166" s="414"/>
      <c r="V166" s="426"/>
      <c r="W166" s="426"/>
      <c r="X166" s="426"/>
    </row>
    <row r="167" spans="2:24" ht="12.75" outlineLevel="1">
      <c r="B167" s="447" t="s">
        <v>234</v>
      </c>
      <c r="C167" s="447"/>
      <c r="D167" s="447"/>
      <c r="E167" s="51">
        <v>0</v>
      </c>
      <c r="F167" s="51">
        <v>0</v>
      </c>
      <c r="G167" s="47">
        <v>0</v>
      </c>
      <c r="H167" s="404">
        <f t="shared" si="44"/>
        <v>0</v>
      </c>
      <c r="I167" s="404">
        <f t="shared" si="45"/>
        <v>0</v>
      </c>
      <c r="J167" s="51">
        <v>0</v>
      </c>
      <c r="K167" s="404">
        <f t="shared" si="46"/>
        <v>75450590.5511811</v>
      </c>
      <c r="L167" s="47">
        <v>0</v>
      </c>
      <c r="M167" s="404">
        <f t="shared" si="47"/>
        <v>75450590.5511811</v>
      </c>
      <c r="N167" s="48"/>
      <c r="O167" s="422">
        <v>0</v>
      </c>
      <c r="P167" s="422"/>
      <c r="Q167" s="48"/>
      <c r="R167" s="422">
        <v>0</v>
      </c>
      <c r="S167" s="422"/>
      <c r="T167" s="48"/>
      <c r="U167" s="413">
        <v>75450590.5511811</v>
      </c>
      <c r="V167" s="426"/>
      <c r="W167" s="426"/>
      <c r="X167" s="422">
        <v>0</v>
      </c>
    </row>
    <row r="168" spans="2:24" ht="12.75" outlineLevel="1">
      <c r="B168" s="447" t="s">
        <v>275</v>
      </c>
      <c r="C168" s="447"/>
      <c r="D168" s="447"/>
      <c r="E168" s="49"/>
      <c r="F168" s="49"/>
      <c r="G168" s="50"/>
      <c r="H168" s="48"/>
      <c r="I168" s="48"/>
      <c r="J168" s="49"/>
      <c r="K168" s="48"/>
      <c r="L168" s="50"/>
      <c r="M168" s="48"/>
      <c r="N168" s="48"/>
      <c r="O168" s="421"/>
      <c r="P168" s="421"/>
      <c r="Q168" s="48"/>
      <c r="R168" s="421"/>
      <c r="S168" s="421"/>
      <c r="T168" s="48"/>
      <c r="U168" s="414"/>
      <c r="V168" s="421"/>
      <c r="W168" s="421"/>
      <c r="X168" s="421"/>
    </row>
    <row r="169" spans="2:24" ht="12.75" outlineLevel="1">
      <c r="B169" s="448" t="s">
        <v>238</v>
      </c>
      <c r="C169" s="447"/>
      <c r="D169" s="447"/>
      <c r="E169" s="49"/>
      <c r="F169" s="49"/>
      <c r="G169" s="50"/>
      <c r="H169" s="48"/>
      <c r="I169" s="48"/>
      <c r="J169" s="49"/>
      <c r="K169" s="48"/>
      <c r="L169" s="50"/>
      <c r="M169" s="48"/>
      <c r="N169" s="48"/>
      <c r="O169" s="421"/>
      <c r="P169" s="421"/>
      <c r="Q169" s="48"/>
      <c r="R169" s="421"/>
      <c r="S169" s="421"/>
      <c r="T169" s="48"/>
      <c r="U169" s="414"/>
      <c r="V169" s="421"/>
      <c r="W169" s="421"/>
      <c r="X169" s="421"/>
    </row>
    <row r="170" spans="2:24" ht="12.75" outlineLevel="1">
      <c r="B170" s="447" t="s">
        <v>230</v>
      </c>
      <c r="C170" s="447"/>
      <c r="D170" s="447"/>
      <c r="E170" s="51">
        <v>0</v>
      </c>
      <c r="F170" s="51">
        <v>0</v>
      </c>
      <c r="G170" s="47">
        <v>0</v>
      </c>
      <c r="H170" s="404">
        <f aca="true" t="shared" si="48" ref="H170:H175">O170+P170</f>
        <v>0</v>
      </c>
      <c r="I170" s="404">
        <f aca="true" t="shared" si="49" ref="I170:I175">R170+S170</f>
        <v>9</v>
      </c>
      <c r="J170" s="51">
        <v>0</v>
      </c>
      <c r="K170" s="404">
        <f aca="true" t="shared" si="50" ref="K170:K175">SUM(U170:X170)</f>
        <v>8.908333333333333</v>
      </c>
      <c r="L170" s="47">
        <v>0</v>
      </c>
      <c r="M170" s="404">
        <f aca="true" t="shared" si="51" ref="M170:M175">SUM(E170:L170)</f>
        <v>17.90833333333333</v>
      </c>
      <c r="N170" s="48"/>
      <c r="O170" s="422">
        <v>0</v>
      </c>
      <c r="P170" s="422"/>
      <c r="Q170" s="48"/>
      <c r="R170" s="422">
        <v>9</v>
      </c>
      <c r="S170" s="422"/>
      <c r="T170" s="48"/>
      <c r="U170" s="413">
        <v>8.908333333333333</v>
      </c>
      <c r="V170" s="426"/>
      <c r="W170" s="426"/>
      <c r="X170" s="422"/>
    </row>
    <row r="171" spans="2:24" ht="12.75" outlineLevel="1">
      <c r="B171" s="472"/>
      <c r="C171" s="472"/>
      <c r="D171" s="472"/>
      <c r="E171" s="555"/>
      <c r="F171" s="555"/>
      <c r="G171" s="50"/>
      <c r="H171" s="48"/>
      <c r="I171" s="48"/>
      <c r="J171" s="555"/>
      <c r="K171" s="48"/>
      <c r="L171" s="50"/>
      <c r="M171" s="48"/>
      <c r="N171" s="48"/>
      <c r="O171" s="426"/>
      <c r="P171" s="426"/>
      <c r="Q171" s="48"/>
      <c r="R171" s="426"/>
      <c r="S171" s="426"/>
      <c r="T171" s="48"/>
      <c r="U171" s="414"/>
      <c r="V171" s="426"/>
      <c r="W171" s="426"/>
      <c r="X171" s="426"/>
    </row>
    <row r="172" spans="2:24" ht="12.75" outlineLevel="1">
      <c r="B172" s="447" t="s">
        <v>231</v>
      </c>
      <c r="C172" s="447"/>
      <c r="D172" s="447"/>
      <c r="E172" s="51">
        <v>0</v>
      </c>
      <c r="F172" s="51">
        <v>0</v>
      </c>
      <c r="G172" s="47">
        <v>0</v>
      </c>
      <c r="H172" s="404">
        <f t="shared" si="48"/>
        <v>0</v>
      </c>
      <c r="I172" s="404">
        <f t="shared" si="49"/>
        <v>45843.08333333333</v>
      </c>
      <c r="J172" s="51">
        <v>0</v>
      </c>
      <c r="K172" s="404">
        <f t="shared" si="50"/>
        <v>228306.76201373</v>
      </c>
      <c r="L172" s="47">
        <v>0</v>
      </c>
      <c r="M172" s="404">
        <f t="shared" si="51"/>
        <v>274149.8453470633</v>
      </c>
      <c r="N172" s="48"/>
      <c r="O172" s="422">
        <v>0</v>
      </c>
      <c r="P172" s="422"/>
      <c r="Q172" s="48"/>
      <c r="R172" s="422">
        <v>45843.08333333333</v>
      </c>
      <c r="S172" s="422"/>
      <c r="T172" s="48"/>
      <c r="U172" s="413">
        <v>228306.76201373</v>
      </c>
      <c r="V172" s="426"/>
      <c r="W172" s="426"/>
      <c r="X172" s="422"/>
    </row>
    <row r="173" spans="2:24" ht="12.75" outlineLevel="1">
      <c r="B173" s="447" t="s">
        <v>236</v>
      </c>
      <c r="C173" s="447"/>
      <c r="D173" s="447"/>
      <c r="E173" s="51">
        <v>0</v>
      </c>
      <c r="F173" s="51">
        <v>0</v>
      </c>
      <c r="G173" s="47">
        <v>0</v>
      </c>
      <c r="H173" s="404">
        <f t="shared" si="48"/>
        <v>0</v>
      </c>
      <c r="I173" s="404">
        <f t="shared" si="49"/>
        <v>689377.3174603175</v>
      </c>
      <c r="J173" s="51">
        <v>0</v>
      </c>
      <c r="K173" s="404">
        <f t="shared" si="50"/>
        <v>1805242.9629629632</v>
      </c>
      <c r="L173" s="47">
        <v>0</v>
      </c>
      <c r="M173" s="404">
        <f t="shared" si="51"/>
        <v>2494620.280423281</v>
      </c>
      <c r="N173" s="48"/>
      <c r="O173" s="422">
        <v>0</v>
      </c>
      <c r="P173" s="422"/>
      <c r="Q173" s="48"/>
      <c r="R173" s="422">
        <v>689377.3174603175</v>
      </c>
      <c r="S173" s="422"/>
      <c r="T173" s="48"/>
      <c r="U173" s="413">
        <v>1805242.9629629632</v>
      </c>
      <c r="V173" s="426"/>
      <c r="W173" s="426"/>
      <c r="X173" s="422"/>
    </row>
    <row r="174" spans="2:24" ht="12.75" outlineLevel="1">
      <c r="B174" s="472"/>
      <c r="C174" s="472"/>
      <c r="D174" s="472"/>
      <c r="E174" s="555"/>
      <c r="F174" s="555"/>
      <c r="G174" s="50"/>
      <c r="H174" s="48"/>
      <c r="I174" s="48"/>
      <c r="J174" s="555"/>
      <c r="K174" s="48"/>
      <c r="L174" s="50"/>
      <c r="M174" s="48"/>
      <c r="N174" s="48"/>
      <c r="O174" s="426"/>
      <c r="P174" s="426"/>
      <c r="Q174" s="48"/>
      <c r="R174" s="426"/>
      <c r="S174" s="426"/>
      <c r="T174" s="48"/>
      <c r="U174" s="414"/>
      <c r="V174" s="426"/>
      <c r="W174" s="426"/>
      <c r="X174" s="426"/>
    </row>
    <row r="175" spans="2:24" ht="12.75" outlineLevel="1">
      <c r="B175" s="447" t="s">
        <v>234</v>
      </c>
      <c r="C175" s="447"/>
      <c r="D175" s="447"/>
      <c r="E175" s="51">
        <v>0</v>
      </c>
      <c r="F175" s="51">
        <v>0</v>
      </c>
      <c r="G175" s="47">
        <v>0</v>
      </c>
      <c r="H175" s="404">
        <f t="shared" si="48"/>
        <v>0</v>
      </c>
      <c r="I175" s="404">
        <f t="shared" si="49"/>
        <v>0</v>
      </c>
      <c r="J175" s="51">
        <v>0</v>
      </c>
      <c r="K175" s="404">
        <f t="shared" si="50"/>
        <v>16943001.574803147</v>
      </c>
      <c r="L175" s="47">
        <v>0</v>
      </c>
      <c r="M175" s="404">
        <f t="shared" si="51"/>
        <v>16943001.574803147</v>
      </c>
      <c r="N175" s="48"/>
      <c r="O175" s="422">
        <v>0</v>
      </c>
      <c r="P175" s="422"/>
      <c r="Q175" s="48"/>
      <c r="R175" s="422">
        <v>0</v>
      </c>
      <c r="S175" s="422"/>
      <c r="T175" s="48"/>
      <c r="U175" s="413">
        <v>16943001.574803147</v>
      </c>
      <c r="V175" s="426"/>
      <c r="W175" s="426"/>
      <c r="X175" s="422"/>
    </row>
    <row r="176" spans="2:24" ht="12.75" outlineLevel="1">
      <c r="B176" s="447" t="s">
        <v>275</v>
      </c>
      <c r="C176" s="447"/>
      <c r="D176" s="447"/>
      <c r="E176" s="52"/>
      <c r="F176" s="52"/>
      <c r="G176" s="50"/>
      <c r="H176" s="48"/>
      <c r="I176" s="48"/>
      <c r="J176" s="52"/>
      <c r="K176" s="48"/>
      <c r="L176" s="50"/>
      <c r="M176" s="48"/>
      <c r="N176" s="48"/>
      <c r="O176" s="423"/>
      <c r="P176" s="423"/>
      <c r="Q176" s="48"/>
      <c r="R176" s="423"/>
      <c r="S176" s="423"/>
      <c r="T176" s="48"/>
      <c r="U176" s="414"/>
      <c r="V176" s="423"/>
      <c r="W176" s="423"/>
      <c r="X176" s="423"/>
    </row>
    <row r="177" spans="2:24" ht="12.75" outlineLevel="1">
      <c r="B177" s="448" t="s">
        <v>239</v>
      </c>
      <c r="C177" s="447"/>
      <c r="D177" s="447"/>
      <c r="E177" s="49"/>
      <c r="F177" s="49"/>
      <c r="G177" s="50"/>
      <c r="H177" s="48"/>
      <c r="I177" s="48"/>
      <c r="J177" s="49"/>
      <c r="K177" s="48"/>
      <c r="L177" s="50"/>
      <c r="M177" s="48"/>
      <c r="N177" s="48"/>
      <c r="O177" s="421"/>
      <c r="P177" s="421"/>
      <c r="Q177" s="48"/>
      <c r="R177" s="421"/>
      <c r="S177" s="421"/>
      <c r="T177" s="48"/>
      <c r="U177" s="414"/>
      <c r="V177" s="421"/>
      <c r="W177" s="421"/>
      <c r="X177" s="421"/>
    </row>
    <row r="178" spans="2:24" ht="12.75" outlineLevel="1">
      <c r="B178" s="447" t="s">
        <v>230</v>
      </c>
      <c r="C178" s="447"/>
      <c r="D178" s="447"/>
      <c r="E178" s="51">
        <v>0</v>
      </c>
      <c r="F178" s="51">
        <v>30.33333333333333</v>
      </c>
      <c r="G178" s="47">
        <v>0.6849490333967451</v>
      </c>
      <c r="H178" s="404">
        <f aca="true" t="shared" si="52" ref="H178:H183">O178+P178</f>
        <v>185</v>
      </c>
      <c r="I178" s="404">
        <f aca="true" t="shared" si="53" ref="I178:I183">R178+S178</f>
        <v>276.54653387697823</v>
      </c>
      <c r="J178" s="51">
        <v>0</v>
      </c>
      <c r="K178" s="404">
        <f aca="true" t="shared" si="54" ref="K178:K183">SUM(U178:X178)</f>
        <v>87.47554347826087</v>
      </c>
      <c r="L178" s="47">
        <v>1</v>
      </c>
      <c r="M178" s="404">
        <f aca="true" t="shared" si="55" ref="M178:M183">SUM(E178:L178)</f>
        <v>581.0403597219691</v>
      </c>
      <c r="N178" s="48"/>
      <c r="O178" s="422">
        <v>179</v>
      </c>
      <c r="P178" s="422">
        <v>6</v>
      </c>
      <c r="Q178" s="48"/>
      <c r="R178" s="422">
        <v>276.54653387697823</v>
      </c>
      <c r="S178" s="422"/>
      <c r="T178" s="48"/>
      <c r="U178" s="413">
        <v>86.47554347826087</v>
      </c>
      <c r="V178" s="426"/>
      <c r="W178" s="426"/>
      <c r="X178" s="422">
        <v>1</v>
      </c>
    </row>
    <row r="179" spans="2:24" ht="12.75" outlineLevel="1">
      <c r="B179" s="472"/>
      <c r="C179" s="472"/>
      <c r="D179" s="472"/>
      <c r="E179" s="555"/>
      <c r="F179" s="555"/>
      <c r="G179" s="50"/>
      <c r="H179" s="48"/>
      <c r="I179" s="48"/>
      <c r="J179" s="555"/>
      <c r="K179" s="48"/>
      <c r="L179" s="50"/>
      <c r="M179" s="48"/>
      <c r="N179" s="48"/>
      <c r="O179" s="426"/>
      <c r="P179" s="426"/>
      <c r="Q179" s="48"/>
      <c r="R179" s="426"/>
      <c r="S179" s="426"/>
      <c r="T179" s="48"/>
      <c r="U179" s="414"/>
      <c r="V179" s="426"/>
      <c r="W179" s="426"/>
      <c r="X179" s="426"/>
    </row>
    <row r="180" spans="2:24" ht="12.75" outlineLevel="1">
      <c r="B180" s="447" t="s">
        <v>231</v>
      </c>
      <c r="C180" s="447"/>
      <c r="D180" s="447"/>
      <c r="E180" s="51">
        <v>0</v>
      </c>
      <c r="F180" s="51">
        <v>61193.366666666676</v>
      </c>
      <c r="G180" s="47">
        <v>9810.49746691787</v>
      </c>
      <c r="H180" s="404">
        <f t="shared" si="52"/>
        <v>1459025</v>
      </c>
      <c r="I180" s="404">
        <f t="shared" si="53"/>
        <v>937451.2692928348</v>
      </c>
      <c r="J180" s="51">
        <v>0</v>
      </c>
      <c r="K180" s="404">
        <f t="shared" si="54"/>
        <v>259283.18716286603</v>
      </c>
      <c r="L180" s="47">
        <v>17656</v>
      </c>
      <c r="M180" s="404">
        <f t="shared" si="55"/>
        <v>2744419.3205892853</v>
      </c>
      <c r="N180" s="48"/>
      <c r="O180" s="422">
        <v>1441018</v>
      </c>
      <c r="P180" s="422">
        <v>18007</v>
      </c>
      <c r="Q180" s="48"/>
      <c r="R180" s="422">
        <v>937451.2692928348</v>
      </c>
      <c r="S180" s="422"/>
      <c r="T180" s="48"/>
      <c r="U180" s="413">
        <v>252791.18716286603</v>
      </c>
      <c r="V180" s="426"/>
      <c r="W180" s="426"/>
      <c r="X180" s="422">
        <v>6492</v>
      </c>
    </row>
    <row r="181" spans="2:24" ht="12.75" outlineLevel="1">
      <c r="B181" s="447" t="s">
        <v>232</v>
      </c>
      <c r="C181" s="447"/>
      <c r="D181" s="447"/>
      <c r="E181" s="51">
        <v>0</v>
      </c>
      <c r="F181" s="51">
        <v>495429.4</v>
      </c>
      <c r="G181" s="47">
        <v>112829.85141218787</v>
      </c>
      <c r="H181" s="404">
        <f t="shared" si="52"/>
        <v>14712096</v>
      </c>
      <c r="I181" s="404">
        <f t="shared" si="53"/>
        <v>9074196.871131148</v>
      </c>
      <c r="J181" s="51">
        <v>0</v>
      </c>
      <c r="K181" s="404">
        <f t="shared" si="54"/>
        <v>2991444.506309044</v>
      </c>
      <c r="L181" s="47">
        <v>173852</v>
      </c>
      <c r="M181" s="404">
        <f t="shared" si="55"/>
        <v>27559848.62885238</v>
      </c>
      <c r="N181" s="48"/>
      <c r="O181" s="422">
        <v>14525628</v>
      </c>
      <c r="P181" s="422">
        <v>186468</v>
      </c>
      <c r="Q181" s="48"/>
      <c r="R181" s="422">
        <v>9074196.871131148</v>
      </c>
      <c r="S181" s="422"/>
      <c r="T181" s="48"/>
      <c r="U181" s="413">
        <v>2918378.506309044</v>
      </c>
      <c r="V181" s="426"/>
      <c r="W181" s="426"/>
      <c r="X181" s="422">
        <v>73066</v>
      </c>
    </row>
    <row r="182" spans="2:24" ht="12.75" outlineLevel="1">
      <c r="B182" s="472"/>
      <c r="C182" s="472"/>
      <c r="D182" s="472"/>
      <c r="E182" s="555"/>
      <c r="F182" s="555"/>
      <c r="G182" s="50"/>
      <c r="H182" s="48"/>
      <c r="I182" s="48"/>
      <c r="J182" s="555"/>
      <c r="K182" s="48"/>
      <c r="L182" s="50"/>
      <c r="M182" s="48"/>
      <c r="N182" s="48"/>
      <c r="O182" s="426"/>
      <c r="P182" s="426"/>
      <c r="Q182" s="48"/>
      <c r="R182" s="426"/>
      <c r="S182" s="426"/>
      <c r="T182" s="48"/>
      <c r="U182" s="414"/>
      <c r="V182" s="426"/>
      <c r="W182" s="426"/>
      <c r="X182" s="426"/>
    </row>
    <row r="183" spans="2:24" ht="12.75" outlineLevel="1">
      <c r="B183" s="447" t="s">
        <v>234</v>
      </c>
      <c r="C183" s="447"/>
      <c r="D183" s="447"/>
      <c r="E183" s="51">
        <v>0</v>
      </c>
      <c r="F183" s="51">
        <v>0</v>
      </c>
      <c r="G183" s="47">
        <v>0</v>
      </c>
      <c r="H183" s="404">
        <f t="shared" si="52"/>
        <v>55069755</v>
      </c>
      <c r="I183" s="404">
        <f t="shared" si="53"/>
        <v>0</v>
      </c>
      <c r="J183" s="51">
        <v>0</v>
      </c>
      <c r="K183" s="404">
        <f t="shared" si="54"/>
        <v>16069700.787401572</v>
      </c>
      <c r="L183" s="47">
        <v>0</v>
      </c>
      <c r="M183" s="404">
        <f t="shared" si="55"/>
        <v>71139455.78740157</v>
      </c>
      <c r="N183" s="48"/>
      <c r="O183" s="422">
        <v>53759139</v>
      </c>
      <c r="P183" s="422">
        <v>1310616</v>
      </c>
      <c r="Q183" s="48"/>
      <c r="R183" s="422">
        <v>0</v>
      </c>
      <c r="S183" s="422"/>
      <c r="T183" s="48"/>
      <c r="U183" s="413">
        <v>16069700.787401572</v>
      </c>
      <c r="V183" s="426"/>
      <c r="W183" s="426"/>
      <c r="X183" s="422">
        <v>0</v>
      </c>
    </row>
    <row r="184" spans="2:24" ht="12.75" outlineLevel="1">
      <c r="B184" s="447" t="s">
        <v>275</v>
      </c>
      <c r="C184" s="447"/>
      <c r="D184" s="447"/>
      <c r="E184" s="49"/>
      <c r="F184" s="49"/>
      <c r="G184" s="50"/>
      <c r="H184" s="48"/>
      <c r="I184" s="48"/>
      <c r="J184" s="49"/>
      <c r="K184" s="48"/>
      <c r="L184" s="50"/>
      <c r="M184" s="48"/>
      <c r="N184" s="48"/>
      <c r="O184" s="421"/>
      <c r="P184" s="421"/>
      <c r="Q184" s="48"/>
      <c r="R184" s="421"/>
      <c r="S184" s="421"/>
      <c r="T184" s="48"/>
      <c r="U184" s="414"/>
      <c r="V184" s="421"/>
      <c r="W184" s="421"/>
      <c r="X184" s="421"/>
    </row>
    <row r="185" spans="2:24" ht="12.75" outlineLevel="1">
      <c r="B185" s="448" t="s">
        <v>240</v>
      </c>
      <c r="C185" s="447"/>
      <c r="D185" s="447"/>
      <c r="E185" s="49"/>
      <c r="F185" s="49"/>
      <c r="G185" s="50"/>
      <c r="H185" s="48"/>
      <c r="I185" s="48"/>
      <c r="J185" s="49"/>
      <c r="K185" s="48"/>
      <c r="L185" s="50"/>
      <c r="M185" s="48"/>
      <c r="N185" s="48"/>
      <c r="O185" s="421"/>
      <c r="P185" s="421"/>
      <c r="Q185" s="48"/>
      <c r="R185" s="421"/>
      <c r="S185" s="421"/>
      <c r="T185" s="48"/>
      <c r="U185" s="414"/>
      <c r="V185" s="421"/>
      <c r="W185" s="421"/>
      <c r="X185" s="421"/>
    </row>
    <row r="186" spans="2:24" ht="12.75" outlineLevel="1">
      <c r="B186" s="447" t="s">
        <v>230</v>
      </c>
      <c r="C186" s="447"/>
      <c r="D186" s="447"/>
      <c r="E186" s="51">
        <v>0</v>
      </c>
      <c r="F186" s="51">
        <v>1</v>
      </c>
      <c r="G186" s="47">
        <v>0</v>
      </c>
      <c r="H186" s="404">
        <f aca="true" t="shared" si="56" ref="H186:H191">O186+P186</f>
        <v>14</v>
      </c>
      <c r="I186" s="404">
        <f aca="true" t="shared" si="57" ref="I186:I191">R186+S186</f>
        <v>10.833333333333334</v>
      </c>
      <c r="J186" s="51">
        <v>0</v>
      </c>
      <c r="K186" s="404">
        <f aca="true" t="shared" si="58" ref="K186:K191">SUM(U186:X186)</f>
        <v>2.725</v>
      </c>
      <c r="L186" s="47">
        <v>0</v>
      </c>
      <c r="M186" s="404">
        <f aca="true" t="shared" si="59" ref="M186:M191">SUM(E186:L186)</f>
        <v>28.558333333333337</v>
      </c>
      <c r="N186" s="48"/>
      <c r="O186" s="422">
        <v>14</v>
      </c>
      <c r="P186" s="422"/>
      <c r="Q186" s="48"/>
      <c r="R186" s="422">
        <v>10.833333333333334</v>
      </c>
      <c r="S186" s="422"/>
      <c r="T186" s="48"/>
      <c r="U186" s="413">
        <v>2.725</v>
      </c>
      <c r="V186" s="426"/>
      <c r="W186" s="426"/>
      <c r="X186" s="422"/>
    </row>
    <row r="187" spans="2:24" ht="12.75" outlineLevel="1">
      <c r="B187" s="472"/>
      <c r="C187" s="472"/>
      <c r="D187" s="472"/>
      <c r="E187" s="555"/>
      <c r="F187" s="555"/>
      <c r="G187" s="50"/>
      <c r="H187" s="48"/>
      <c r="I187" s="48"/>
      <c r="J187" s="555"/>
      <c r="K187" s="48"/>
      <c r="L187" s="50"/>
      <c r="M187" s="48"/>
      <c r="N187" s="48"/>
      <c r="O187" s="426"/>
      <c r="P187" s="426"/>
      <c r="Q187" s="48"/>
      <c r="R187" s="426"/>
      <c r="S187" s="426"/>
      <c r="T187" s="48"/>
      <c r="U187" s="414"/>
      <c r="V187" s="426"/>
      <c r="W187" s="426"/>
      <c r="X187" s="426"/>
    </row>
    <row r="188" spans="2:24" ht="12.75" outlineLevel="1">
      <c r="B188" s="447" t="s">
        <v>231</v>
      </c>
      <c r="C188" s="447"/>
      <c r="D188" s="447"/>
      <c r="E188" s="51">
        <v>0</v>
      </c>
      <c r="F188" s="51">
        <v>9300</v>
      </c>
      <c r="G188" s="47">
        <v>0</v>
      </c>
      <c r="H188" s="404">
        <f t="shared" si="56"/>
        <v>89891</v>
      </c>
      <c r="I188" s="404">
        <f t="shared" si="57"/>
        <v>29965.75</v>
      </c>
      <c r="J188" s="51">
        <v>0</v>
      </c>
      <c r="K188" s="404">
        <f t="shared" si="58"/>
        <v>15976.13736791547</v>
      </c>
      <c r="L188" s="47">
        <v>0</v>
      </c>
      <c r="M188" s="404">
        <f t="shared" si="59"/>
        <v>145132.88736791548</v>
      </c>
      <c r="N188" s="48"/>
      <c r="O188" s="422">
        <v>89891</v>
      </c>
      <c r="P188" s="422"/>
      <c r="Q188" s="48"/>
      <c r="R188" s="422">
        <v>29965.75</v>
      </c>
      <c r="S188" s="422"/>
      <c r="T188" s="48"/>
      <c r="U188" s="413">
        <v>15976.13736791547</v>
      </c>
      <c r="V188" s="426"/>
      <c r="W188" s="426"/>
      <c r="X188" s="422"/>
    </row>
    <row r="189" spans="2:24" ht="12.75" outlineLevel="1">
      <c r="B189" s="447" t="s">
        <v>236</v>
      </c>
      <c r="C189" s="447"/>
      <c r="D189" s="447"/>
      <c r="E189" s="51">
        <v>0</v>
      </c>
      <c r="F189" s="51">
        <v>120364.8</v>
      </c>
      <c r="G189" s="47">
        <v>0</v>
      </c>
      <c r="H189" s="404">
        <f t="shared" si="56"/>
        <v>1139544</v>
      </c>
      <c r="I189" s="404">
        <f t="shared" si="57"/>
        <v>504448</v>
      </c>
      <c r="J189" s="51">
        <v>0</v>
      </c>
      <c r="K189" s="404">
        <f t="shared" si="58"/>
        <v>260665.96832579182</v>
      </c>
      <c r="L189" s="47">
        <v>0</v>
      </c>
      <c r="M189" s="404">
        <f t="shared" si="59"/>
        <v>2025022.768325792</v>
      </c>
      <c r="N189" s="48"/>
      <c r="O189" s="422">
        <v>1139544</v>
      </c>
      <c r="P189" s="422"/>
      <c r="Q189" s="48"/>
      <c r="R189" s="422">
        <v>504448</v>
      </c>
      <c r="S189" s="422"/>
      <c r="T189" s="48"/>
      <c r="U189" s="413">
        <v>260665.96832579182</v>
      </c>
      <c r="V189" s="426"/>
      <c r="W189" s="426"/>
      <c r="X189" s="422"/>
    </row>
    <row r="190" spans="2:24" ht="12.75" outlineLevel="1">
      <c r="B190" s="472"/>
      <c r="C190" s="472"/>
      <c r="D190" s="472"/>
      <c r="E190" s="555"/>
      <c r="F190" s="555"/>
      <c r="G190" s="50"/>
      <c r="H190" s="48"/>
      <c r="I190" s="48"/>
      <c r="J190" s="555"/>
      <c r="K190" s="48"/>
      <c r="L190" s="50"/>
      <c r="M190" s="48"/>
      <c r="N190" s="48"/>
      <c r="O190" s="426"/>
      <c r="P190" s="426"/>
      <c r="Q190" s="48"/>
      <c r="R190" s="426"/>
      <c r="S190" s="426"/>
      <c r="T190" s="48"/>
      <c r="U190" s="414"/>
      <c r="V190" s="426"/>
      <c r="W190" s="426"/>
      <c r="X190" s="426"/>
    </row>
    <row r="191" spans="2:24" ht="12.75" outlineLevel="1">
      <c r="B191" s="447" t="s">
        <v>234</v>
      </c>
      <c r="C191" s="447"/>
      <c r="D191" s="447"/>
      <c r="E191" s="51">
        <v>0</v>
      </c>
      <c r="F191" s="51">
        <v>0</v>
      </c>
      <c r="G191" s="47">
        <v>0</v>
      </c>
      <c r="H191" s="404">
        <f t="shared" si="56"/>
        <v>1989823</v>
      </c>
      <c r="I191" s="404">
        <f t="shared" si="57"/>
        <v>0</v>
      </c>
      <c r="J191" s="51">
        <v>0</v>
      </c>
      <c r="K191" s="404">
        <f t="shared" si="58"/>
        <v>0</v>
      </c>
      <c r="L191" s="47">
        <v>0</v>
      </c>
      <c r="M191" s="404">
        <f t="shared" si="59"/>
        <v>1989823</v>
      </c>
      <c r="N191" s="48"/>
      <c r="O191" s="422">
        <v>1989823</v>
      </c>
      <c r="P191" s="422"/>
      <c r="Q191" s="48"/>
      <c r="R191" s="422">
        <v>0</v>
      </c>
      <c r="S191" s="422"/>
      <c r="T191" s="48"/>
      <c r="U191" s="413">
        <v>0</v>
      </c>
      <c r="V191" s="426"/>
      <c r="W191" s="426"/>
      <c r="X191" s="422"/>
    </row>
    <row r="192" spans="2:24" ht="12.75" outlineLevel="1">
      <c r="B192" s="447" t="s">
        <v>275</v>
      </c>
      <c r="C192" s="447"/>
      <c r="D192" s="447"/>
      <c r="E192" s="52"/>
      <c r="F192" s="52"/>
      <c r="G192" s="50"/>
      <c r="H192" s="48"/>
      <c r="I192" s="48"/>
      <c r="J192" s="52"/>
      <c r="K192" s="48"/>
      <c r="L192" s="50"/>
      <c r="M192" s="48"/>
      <c r="N192" s="48"/>
      <c r="O192" s="423"/>
      <c r="P192" s="423"/>
      <c r="Q192" s="48"/>
      <c r="R192" s="423"/>
      <c r="S192" s="423"/>
      <c r="T192" s="48"/>
      <c r="U192" s="414"/>
      <c r="V192" s="423"/>
      <c r="W192" s="423"/>
      <c r="X192" s="423"/>
    </row>
    <row r="193" spans="2:24" ht="12.75" outlineLevel="1">
      <c r="B193" s="448" t="s">
        <v>241</v>
      </c>
      <c r="C193" s="447"/>
      <c r="D193" s="447"/>
      <c r="E193" s="49"/>
      <c r="F193" s="49"/>
      <c r="G193" s="50"/>
      <c r="H193" s="48"/>
      <c r="I193" s="48"/>
      <c r="J193" s="49"/>
      <c r="K193" s="48"/>
      <c r="L193" s="50"/>
      <c r="M193" s="48"/>
      <c r="N193" s="48"/>
      <c r="O193" s="421"/>
      <c r="P193" s="421"/>
      <c r="Q193" s="48"/>
      <c r="R193" s="421"/>
      <c r="S193" s="421"/>
      <c r="T193" s="48"/>
      <c r="U193" s="414"/>
      <c r="V193" s="421"/>
      <c r="W193" s="421"/>
      <c r="X193" s="421"/>
    </row>
    <row r="194" spans="2:24" ht="12.75" outlineLevel="1">
      <c r="B194" s="447" t="s">
        <v>230</v>
      </c>
      <c r="C194" s="447"/>
      <c r="D194" s="447"/>
      <c r="E194" s="46">
        <v>0</v>
      </c>
      <c r="F194" s="53">
        <v>0</v>
      </c>
      <c r="G194" s="47">
        <v>4.024075571205877</v>
      </c>
      <c r="H194" s="404">
        <f>O194+P194</f>
        <v>254</v>
      </c>
      <c r="I194" s="404">
        <f>R194+S194</f>
        <v>0</v>
      </c>
      <c r="J194" s="46">
        <v>1</v>
      </c>
      <c r="K194" s="404">
        <f>SUM(U194:X194)</f>
        <v>0</v>
      </c>
      <c r="L194" s="47">
        <v>0</v>
      </c>
      <c r="M194" s="404">
        <f>SUM(E194:L194)</f>
        <v>259.02407557120586</v>
      </c>
      <c r="N194" s="48"/>
      <c r="O194" s="420">
        <v>254</v>
      </c>
      <c r="P194" s="420"/>
      <c r="Q194" s="48"/>
      <c r="R194" s="420">
        <v>0</v>
      </c>
      <c r="S194" s="420"/>
      <c r="T194" s="48"/>
      <c r="U194" s="413">
        <v>0</v>
      </c>
      <c r="V194" s="425"/>
      <c r="W194" s="425"/>
      <c r="X194" s="420"/>
    </row>
    <row r="195" spans="2:24" ht="12.75" outlineLevel="1">
      <c r="B195" s="447" t="s">
        <v>242</v>
      </c>
      <c r="C195" s="447"/>
      <c r="D195" s="447"/>
      <c r="E195" s="46">
        <v>0</v>
      </c>
      <c r="F195" s="53">
        <v>0</v>
      </c>
      <c r="G195" s="47">
        <v>24375.988464708644</v>
      </c>
      <c r="H195" s="404">
        <f>O195+P195</f>
        <v>721057</v>
      </c>
      <c r="I195" s="404">
        <f>R195+S195</f>
        <v>0</v>
      </c>
      <c r="J195" s="46">
        <v>6381</v>
      </c>
      <c r="K195" s="404">
        <f>SUM(U195:X195)</f>
        <v>0</v>
      </c>
      <c r="L195" s="47">
        <v>0</v>
      </c>
      <c r="M195" s="404">
        <f>SUM(E195:L195)</f>
        <v>751813.9884647087</v>
      </c>
      <c r="N195" s="48"/>
      <c r="O195" s="420">
        <v>721057</v>
      </c>
      <c r="P195" s="420"/>
      <c r="Q195" s="48"/>
      <c r="R195" s="420">
        <v>0</v>
      </c>
      <c r="S195" s="420"/>
      <c r="T195" s="48"/>
      <c r="U195" s="413">
        <v>0</v>
      </c>
      <c r="V195" s="425"/>
      <c r="W195" s="425"/>
      <c r="X195" s="420"/>
    </row>
    <row r="196" spans="2:24" ht="12.75" outlineLevel="1">
      <c r="B196" s="447" t="s">
        <v>232</v>
      </c>
      <c r="C196" s="447"/>
      <c r="D196" s="447"/>
      <c r="E196" s="46">
        <v>0</v>
      </c>
      <c r="F196" s="53">
        <v>0</v>
      </c>
      <c r="G196" s="47">
        <v>260858.54991259388</v>
      </c>
      <c r="H196" s="404">
        <f>O196+P196</f>
        <v>6979152</v>
      </c>
      <c r="I196" s="404">
        <f>R196+S196</f>
        <v>0</v>
      </c>
      <c r="J196" s="46">
        <v>70850</v>
      </c>
      <c r="K196" s="404">
        <f>SUM(U196:X196)</f>
        <v>0</v>
      </c>
      <c r="L196" s="47">
        <v>0</v>
      </c>
      <c r="M196" s="404">
        <f>SUM(E196:L196)</f>
        <v>7310860.549912594</v>
      </c>
      <c r="N196" s="48"/>
      <c r="O196" s="420">
        <v>6979152</v>
      </c>
      <c r="P196" s="420"/>
      <c r="Q196" s="48"/>
      <c r="R196" s="420">
        <v>0</v>
      </c>
      <c r="S196" s="420"/>
      <c r="T196" s="48"/>
      <c r="U196" s="413">
        <v>0</v>
      </c>
      <c r="V196" s="425"/>
      <c r="W196" s="425"/>
      <c r="X196" s="420"/>
    </row>
    <row r="197" spans="2:24" ht="12.75" outlineLevel="1">
      <c r="B197" s="447" t="s">
        <v>233</v>
      </c>
      <c r="C197" s="447"/>
      <c r="D197" s="447"/>
      <c r="E197" s="46">
        <v>0</v>
      </c>
      <c r="F197" s="53">
        <v>0</v>
      </c>
      <c r="G197" s="47">
        <v>103475254.48550111</v>
      </c>
      <c r="H197" s="404">
        <f>O197+P197</f>
        <v>2896490127</v>
      </c>
      <c r="I197" s="404">
        <f>R197+S197</f>
        <v>0</v>
      </c>
      <c r="J197" s="46">
        <v>3726100</v>
      </c>
      <c r="K197" s="404">
        <f>SUM(U197:X197)</f>
        <v>0</v>
      </c>
      <c r="L197" s="47">
        <v>0</v>
      </c>
      <c r="M197" s="404">
        <f>SUM(E197:L197)</f>
        <v>3003691481.4855013</v>
      </c>
      <c r="N197" s="48"/>
      <c r="O197" s="420">
        <v>2896490127</v>
      </c>
      <c r="P197" s="420"/>
      <c r="Q197" s="48"/>
      <c r="R197" s="420">
        <v>0</v>
      </c>
      <c r="S197" s="420"/>
      <c r="T197" s="48"/>
      <c r="U197" s="413">
        <v>0</v>
      </c>
      <c r="V197" s="425"/>
      <c r="W197" s="425"/>
      <c r="X197" s="420"/>
    </row>
    <row r="198" spans="2:24" ht="12.75" outlineLevel="1">
      <c r="B198" s="447" t="s">
        <v>234</v>
      </c>
      <c r="C198" s="447"/>
      <c r="D198" s="447"/>
      <c r="E198" s="46">
        <v>0</v>
      </c>
      <c r="F198" s="53">
        <v>0</v>
      </c>
      <c r="G198" s="47">
        <v>0</v>
      </c>
      <c r="H198" s="404">
        <f>O198+P198</f>
        <v>77244216</v>
      </c>
      <c r="I198" s="404">
        <f>R198+S198</f>
        <v>0</v>
      </c>
      <c r="J198" s="46">
        <v>0</v>
      </c>
      <c r="K198" s="404">
        <f>SUM(U198:X198)</f>
        <v>0</v>
      </c>
      <c r="L198" s="47">
        <v>0</v>
      </c>
      <c r="M198" s="404">
        <f>SUM(E198:L198)</f>
        <v>77244216</v>
      </c>
      <c r="N198" s="48"/>
      <c r="O198" s="420">
        <v>77244216</v>
      </c>
      <c r="P198" s="420"/>
      <c r="Q198" s="48"/>
      <c r="R198" s="420">
        <v>0</v>
      </c>
      <c r="S198" s="420"/>
      <c r="T198" s="48"/>
      <c r="U198" s="413">
        <v>0</v>
      </c>
      <c r="V198" s="425"/>
      <c r="W198" s="425"/>
      <c r="X198" s="420"/>
    </row>
    <row r="199" spans="2:24" ht="12.75" outlineLevel="1">
      <c r="B199" s="447" t="s">
        <v>275</v>
      </c>
      <c r="C199" s="447"/>
      <c r="D199" s="447"/>
      <c r="E199" s="52"/>
      <c r="F199" s="52"/>
      <c r="G199" s="50"/>
      <c r="H199" s="48"/>
      <c r="I199" s="48"/>
      <c r="J199" s="52"/>
      <c r="K199" s="48"/>
      <c r="L199" s="50"/>
      <c r="M199" s="48"/>
      <c r="N199" s="48"/>
      <c r="O199" s="423"/>
      <c r="P199" s="423"/>
      <c r="Q199" s="48"/>
      <c r="R199" s="423"/>
      <c r="S199" s="423"/>
      <c r="T199" s="48"/>
      <c r="U199" s="414"/>
      <c r="V199" s="423"/>
      <c r="W199" s="423"/>
      <c r="X199" s="423"/>
    </row>
    <row r="200" spans="2:24" ht="12.75" outlineLevel="1">
      <c r="B200" s="448" t="s">
        <v>243</v>
      </c>
      <c r="C200" s="447"/>
      <c r="D200" s="447"/>
      <c r="E200" s="49"/>
      <c r="F200" s="49"/>
      <c r="G200" s="50"/>
      <c r="H200" s="48"/>
      <c r="I200" s="48"/>
      <c r="J200" s="49"/>
      <c r="K200" s="48"/>
      <c r="L200" s="50"/>
      <c r="M200" s="48"/>
      <c r="N200" s="48"/>
      <c r="O200" s="421"/>
      <c r="P200" s="421"/>
      <c r="Q200" s="48"/>
      <c r="R200" s="421"/>
      <c r="S200" s="421"/>
      <c r="T200" s="48"/>
      <c r="U200" s="414"/>
      <c r="V200" s="421"/>
      <c r="W200" s="421"/>
      <c r="X200" s="421"/>
    </row>
    <row r="201" spans="2:24" ht="12.75" outlineLevel="1">
      <c r="B201" s="447" t="s">
        <v>230</v>
      </c>
      <c r="C201" s="447"/>
      <c r="D201" s="447"/>
      <c r="E201" s="53">
        <v>31</v>
      </c>
      <c r="F201" s="53">
        <v>320.3333333333333</v>
      </c>
      <c r="G201" s="47">
        <v>589.364232703126</v>
      </c>
      <c r="H201" s="404">
        <f>O201+P201</f>
        <v>8315</v>
      </c>
      <c r="I201" s="404">
        <f>R201+S201</f>
        <v>8399.133479131964</v>
      </c>
      <c r="J201" s="53">
        <v>19</v>
      </c>
      <c r="K201" s="404">
        <f>SUM(U201:X201)</f>
        <v>2708.194058956916</v>
      </c>
      <c r="L201" s="47">
        <v>191.47297052154192</v>
      </c>
      <c r="M201" s="404">
        <f>SUM(E201:L201)</f>
        <v>20573.498074646883</v>
      </c>
      <c r="N201" s="48"/>
      <c r="O201" s="424">
        <v>8201</v>
      </c>
      <c r="P201" s="424">
        <v>114</v>
      </c>
      <c r="Q201" s="48"/>
      <c r="R201" s="424">
        <v>8399.133479131964</v>
      </c>
      <c r="S201" s="424"/>
      <c r="T201" s="48"/>
      <c r="U201" s="413">
        <v>2683.2773922902493</v>
      </c>
      <c r="V201" s="415"/>
      <c r="W201" s="415"/>
      <c r="X201" s="424">
        <v>24.916666666666668</v>
      </c>
    </row>
    <row r="202" spans="2:24" ht="12.75" outlineLevel="1">
      <c r="B202" s="447" t="s">
        <v>242</v>
      </c>
      <c r="C202" s="447"/>
      <c r="D202" s="447"/>
      <c r="E202" s="53">
        <v>28520</v>
      </c>
      <c r="F202" s="53">
        <v>168199.5</v>
      </c>
      <c r="G202" s="47">
        <v>146558.8807141297</v>
      </c>
      <c r="H202" s="404">
        <f>O202+P202</f>
        <v>2761666</v>
      </c>
      <c r="I202" s="404">
        <f>R202+S202</f>
        <v>3024341.1052479683</v>
      </c>
      <c r="J202" s="53">
        <v>21104</v>
      </c>
      <c r="K202" s="404">
        <f>SUM(U202:X202)</f>
        <v>1810311.6938186511</v>
      </c>
      <c r="L202" s="47">
        <v>197945.04157549236</v>
      </c>
      <c r="M202" s="404">
        <f>SUM(E202:L202)</f>
        <v>8158646.221356242</v>
      </c>
      <c r="N202" s="48"/>
      <c r="O202" s="424">
        <v>2710252</v>
      </c>
      <c r="P202" s="424">
        <v>51414</v>
      </c>
      <c r="Q202" s="48"/>
      <c r="R202" s="424">
        <v>3024341.1052479683</v>
      </c>
      <c r="S202" s="424"/>
      <c r="T202" s="48"/>
      <c r="U202" s="413">
        <v>1793046.110485318</v>
      </c>
      <c r="V202" s="415"/>
      <c r="W202" s="415"/>
      <c r="X202" s="424">
        <v>17265.583333333332</v>
      </c>
    </row>
    <row r="203" spans="2:24" ht="12.75" outlineLevel="1">
      <c r="B203" s="447" t="s">
        <v>232</v>
      </c>
      <c r="C203" s="447"/>
      <c r="D203" s="447"/>
      <c r="E203" s="53">
        <v>296004</v>
      </c>
      <c r="F203" s="53">
        <v>1397911</v>
      </c>
      <c r="G203" s="47">
        <v>1155442.166684706</v>
      </c>
      <c r="H203" s="404">
        <f>O203+P203</f>
        <v>25182504</v>
      </c>
      <c r="I203" s="404">
        <f>R203+S203</f>
        <v>26107558.146403782</v>
      </c>
      <c r="J203" s="53">
        <v>210849.01</v>
      </c>
      <c r="K203" s="404">
        <f>SUM(U203:X203)</f>
        <v>13608801.882899925</v>
      </c>
      <c r="L203" s="47">
        <v>1632900.5121517489</v>
      </c>
      <c r="M203" s="404">
        <f>SUM(E203:L203)</f>
        <v>69591970.71814016</v>
      </c>
      <c r="N203" s="48"/>
      <c r="O203" s="424">
        <v>24706860</v>
      </c>
      <c r="P203" s="424">
        <v>475644</v>
      </c>
      <c r="Q203" s="48"/>
      <c r="R203" s="424">
        <v>26107558.146403782</v>
      </c>
      <c r="S203" s="424"/>
      <c r="T203" s="48"/>
      <c r="U203" s="413">
        <v>13510532.882899925</v>
      </c>
      <c r="V203" s="415"/>
      <c r="W203" s="415"/>
      <c r="X203" s="424">
        <v>98269</v>
      </c>
    </row>
    <row r="204" spans="2:24" ht="12.75" outlineLevel="1">
      <c r="B204" s="447" t="s">
        <v>233</v>
      </c>
      <c r="C204" s="447"/>
      <c r="D204" s="447"/>
      <c r="E204" s="53">
        <v>105315479</v>
      </c>
      <c r="F204" s="53">
        <v>450556856</v>
      </c>
      <c r="G204" s="47">
        <v>395109160.24488866</v>
      </c>
      <c r="H204" s="404">
        <f>O204+P204</f>
        <v>7850951424</v>
      </c>
      <c r="I204" s="404">
        <f>R204+S204</f>
        <v>8815158992.169743</v>
      </c>
      <c r="J204" s="53">
        <v>79267934</v>
      </c>
      <c r="K204" s="404">
        <f>SUM(U204:X204)</f>
        <v>4749517595.701022</v>
      </c>
      <c r="L204" s="47">
        <v>432891228.8224956</v>
      </c>
      <c r="M204" s="404">
        <f>SUM(E204:L204)</f>
        <v>22878768669.93815</v>
      </c>
      <c r="N204" s="48"/>
      <c r="O204" s="424">
        <v>7682983516</v>
      </c>
      <c r="P204" s="424">
        <v>167967908</v>
      </c>
      <c r="Q204" s="48"/>
      <c r="R204" s="424">
        <v>8815158992.169743</v>
      </c>
      <c r="S204" s="424"/>
      <c r="T204" s="48"/>
      <c r="U204" s="413">
        <v>4722898137.954543</v>
      </c>
      <c r="V204" s="415"/>
      <c r="W204" s="415"/>
      <c r="X204" s="424">
        <v>26619457.746478874</v>
      </c>
    </row>
    <row r="205" spans="2:24" ht="12.75" outlineLevel="1">
      <c r="B205" s="447" t="s">
        <v>234</v>
      </c>
      <c r="C205" s="447"/>
      <c r="D205" s="447"/>
      <c r="E205" s="53">
        <v>1735403</v>
      </c>
      <c r="F205" s="53">
        <v>0</v>
      </c>
      <c r="G205" s="47">
        <v>7114765.884245165</v>
      </c>
      <c r="H205" s="404">
        <f>O205+P205</f>
        <v>268911902</v>
      </c>
      <c r="I205" s="404">
        <f>R205+S205</f>
        <v>0</v>
      </c>
      <c r="J205" s="53">
        <v>1737134</v>
      </c>
      <c r="K205" s="404">
        <f>SUM(U205:X205)</f>
        <v>98141407.87401572</v>
      </c>
      <c r="L205" s="47">
        <v>0</v>
      </c>
      <c r="M205" s="404">
        <f>SUM(E205:L205)</f>
        <v>377640612.75826085</v>
      </c>
      <c r="N205" s="48"/>
      <c r="O205" s="424">
        <v>264165513</v>
      </c>
      <c r="P205" s="424">
        <v>4746389</v>
      </c>
      <c r="Q205" s="48"/>
      <c r="R205" s="424">
        <v>0</v>
      </c>
      <c r="S205" s="424"/>
      <c r="T205" s="48"/>
      <c r="U205" s="413">
        <v>98141407.87401572</v>
      </c>
      <c r="V205" s="415"/>
      <c r="W205" s="415"/>
      <c r="X205" s="424">
        <v>0</v>
      </c>
    </row>
    <row r="206" spans="2:24" ht="12.75" outlineLevel="1">
      <c r="B206" s="447" t="s">
        <v>275</v>
      </c>
      <c r="C206" s="447"/>
      <c r="D206" s="447"/>
      <c r="E206" s="49"/>
      <c r="F206" s="49"/>
      <c r="G206" s="50"/>
      <c r="H206" s="48"/>
      <c r="I206" s="48"/>
      <c r="J206" s="49"/>
      <c r="K206" s="48"/>
      <c r="L206" s="50"/>
      <c r="M206" s="48"/>
      <c r="N206" s="48"/>
      <c r="O206" s="421"/>
      <c r="P206" s="421"/>
      <c r="Q206" s="48"/>
      <c r="R206" s="421"/>
      <c r="S206" s="421"/>
      <c r="T206" s="48"/>
      <c r="U206" s="414"/>
      <c r="V206" s="421"/>
      <c r="W206" s="421"/>
      <c r="X206" s="421"/>
    </row>
    <row r="207" spans="2:24" ht="12.75" outlineLevel="1">
      <c r="B207" s="448" t="s">
        <v>244</v>
      </c>
      <c r="C207" s="447"/>
      <c r="D207" s="447"/>
      <c r="E207" s="49"/>
      <c r="F207" s="49"/>
      <c r="G207" s="50"/>
      <c r="H207" s="48"/>
      <c r="I207" s="48"/>
      <c r="J207" s="49"/>
      <c r="K207" s="48"/>
      <c r="L207" s="50"/>
      <c r="M207" s="48"/>
      <c r="N207" s="48"/>
      <c r="O207" s="421"/>
      <c r="P207" s="421"/>
      <c r="Q207" s="48"/>
      <c r="R207" s="421"/>
      <c r="S207" s="421"/>
      <c r="T207" s="48"/>
      <c r="U207" s="414"/>
      <c r="V207" s="421"/>
      <c r="W207" s="421"/>
      <c r="X207" s="421"/>
    </row>
    <row r="208" spans="2:24" ht="12.75" outlineLevel="1">
      <c r="B208" s="447" t="s">
        <v>230</v>
      </c>
      <c r="C208" s="447"/>
      <c r="D208" s="447"/>
      <c r="E208" s="53">
        <v>193</v>
      </c>
      <c r="F208" s="53">
        <v>1307.9166666666665</v>
      </c>
      <c r="G208" s="47">
        <v>752.3939145277395</v>
      </c>
      <c r="H208" s="404">
        <f>O208+P208</f>
        <v>13818</v>
      </c>
      <c r="I208" s="404">
        <f>R208+S208</f>
        <v>12843.096078125322</v>
      </c>
      <c r="J208" s="53">
        <v>122.14722222222221</v>
      </c>
      <c r="K208" s="404">
        <f>SUM(U208:X208)</f>
        <v>7489.8385714285705</v>
      </c>
      <c r="L208" s="47">
        <v>1132.9752607709752</v>
      </c>
      <c r="M208" s="404">
        <f>SUM(E208:L208)</f>
        <v>37659.36771374149</v>
      </c>
      <c r="N208" s="48"/>
      <c r="O208" s="424">
        <v>13517</v>
      </c>
      <c r="P208" s="424">
        <v>301</v>
      </c>
      <c r="Q208" s="48"/>
      <c r="R208" s="424">
        <v>12843.096078125322</v>
      </c>
      <c r="S208" s="424"/>
      <c r="T208" s="48"/>
      <c r="U208" s="413">
        <v>7338.5052380952375</v>
      </c>
      <c r="V208" s="415"/>
      <c r="W208" s="415"/>
      <c r="X208" s="424">
        <v>151.33333333333334</v>
      </c>
    </row>
    <row r="209" spans="2:24" ht="12.75" outlineLevel="1">
      <c r="B209" s="447" t="s">
        <v>242</v>
      </c>
      <c r="C209" s="447"/>
      <c r="D209" s="447"/>
      <c r="E209" s="53">
        <v>37501</v>
      </c>
      <c r="F209" s="53">
        <v>123792.66666666667</v>
      </c>
      <c r="G209" s="47">
        <v>41231.29358850088</v>
      </c>
      <c r="H209" s="404">
        <f>O209+P209</f>
        <v>1021795</v>
      </c>
      <c r="I209" s="404">
        <f>R209+S209</f>
        <v>1171521.9805137373</v>
      </c>
      <c r="J209" s="53">
        <v>20318</v>
      </c>
      <c r="K209" s="404">
        <f>SUM(U209:X209)</f>
        <v>1073211.6275965802</v>
      </c>
      <c r="L209" s="47">
        <v>259133.65477222204</v>
      </c>
      <c r="M209" s="404">
        <f>SUM(E209:L209)</f>
        <v>3748505.2231377074</v>
      </c>
      <c r="N209" s="48"/>
      <c r="O209" s="424">
        <v>995607</v>
      </c>
      <c r="P209" s="424">
        <v>26188</v>
      </c>
      <c r="Q209" s="48"/>
      <c r="R209" s="424">
        <v>1171521.9805137373</v>
      </c>
      <c r="S209" s="424"/>
      <c r="T209" s="48"/>
      <c r="U209" s="413">
        <v>1038855.0442632468</v>
      </c>
      <c r="V209" s="415"/>
      <c r="W209" s="415"/>
      <c r="X209" s="424">
        <v>34356.583333333336</v>
      </c>
    </row>
    <row r="210" spans="2:24" ht="12.75" outlineLevel="1">
      <c r="B210" s="447" t="s">
        <v>232</v>
      </c>
      <c r="C210" s="447"/>
      <c r="D210" s="447"/>
      <c r="E210" s="53">
        <v>349666</v>
      </c>
      <c r="F210" s="53">
        <v>1018467</v>
      </c>
      <c r="G210" s="47">
        <v>272437.7450808803</v>
      </c>
      <c r="H210" s="404">
        <f>O210+P210</f>
        <v>8203908</v>
      </c>
      <c r="I210" s="404">
        <f>R210+S210</f>
        <v>9133929.554967623</v>
      </c>
      <c r="J210" s="53">
        <v>189819.29</v>
      </c>
      <c r="K210" s="404">
        <f>SUM(U210:X210)</f>
        <v>7452484.889647571</v>
      </c>
      <c r="L210" s="47">
        <v>1920236.414937759</v>
      </c>
      <c r="M210" s="404">
        <f>SUM(E210:L210)</f>
        <v>28540948.894633833</v>
      </c>
      <c r="N210" s="48"/>
      <c r="O210" s="424">
        <v>7982664</v>
      </c>
      <c r="P210" s="424">
        <v>221244</v>
      </c>
      <c r="Q210" s="48"/>
      <c r="R210" s="424">
        <v>9133929.554967623</v>
      </c>
      <c r="S210" s="424"/>
      <c r="T210" s="48"/>
      <c r="U210" s="413">
        <v>7248805.889647571</v>
      </c>
      <c r="V210" s="415"/>
      <c r="W210" s="415"/>
      <c r="X210" s="424">
        <v>203679</v>
      </c>
    </row>
    <row r="211" spans="2:24" ht="12.75" outlineLevel="1">
      <c r="B211" s="447" t="s">
        <v>233</v>
      </c>
      <c r="C211" s="447"/>
      <c r="D211" s="447"/>
      <c r="E211" s="53">
        <v>100239742</v>
      </c>
      <c r="F211" s="53">
        <v>264853980</v>
      </c>
      <c r="G211" s="47">
        <v>73885070.50453873</v>
      </c>
      <c r="H211" s="404">
        <f>O211+P211</f>
        <v>2177343096</v>
      </c>
      <c r="I211" s="404">
        <f>R211+S211</f>
        <v>2564906473.101246</v>
      </c>
      <c r="J211" s="53">
        <v>49758176</v>
      </c>
      <c r="K211" s="404">
        <f>SUM(U211:X211)</f>
        <v>2173549498.595227</v>
      </c>
      <c r="L211" s="47">
        <v>502812810.8963092</v>
      </c>
      <c r="M211" s="404">
        <f>SUM(E211:L211)</f>
        <v>7907348847.097321</v>
      </c>
      <c r="N211" s="48"/>
      <c r="O211" s="424">
        <v>2115389194</v>
      </c>
      <c r="P211" s="424">
        <v>61953902</v>
      </c>
      <c r="Q211" s="48"/>
      <c r="R211" s="424">
        <v>2564906473.101246</v>
      </c>
      <c r="S211" s="424"/>
      <c r="T211" s="48"/>
      <c r="U211" s="413">
        <v>2115629372.5952268</v>
      </c>
      <c r="V211" s="415"/>
      <c r="W211" s="415"/>
      <c r="X211" s="424">
        <v>57920126</v>
      </c>
    </row>
    <row r="212" spans="2:24" ht="12.75" outlineLevel="1">
      <c r="B212" s="447" t="s">
        <v>234</v>
      </c>
      <c r="C212" s="447"/>
      <c r="D212" s="447"/>
      <c r="E212" s="53">
        <v>1433724</v>
      </c>
      <c r="F212" s="53">
        <v>0</v>
      </c>
      <c r="G212" s="47">
        <v>190387.99052393468</v>
      </c>
      <c r="H212" s="404">
        <f>O212+P212</f>
        <v>42748779</v>
      </c>
      <c r="I212" s="404">
        <f>R212+S212</f>
        <v>0</v>
      </c>
      <c r="J212" s="53">
        <v>802567.0000000009</v>
      </c>
      <c r="K212" s="404">
        <f>SUM(U212:X212)</f>
        <v>35323979.52755905</v>
      </c>
      <c r="L212" s="47">
        <v>0</v>
      </c>
      <c r="M212" s="404">
        <f>SUM(E212:L212)</f>
        <v>80499437.51808298</v>
      </c>
      <c r="N212" s="48"/>
      <c r="O212" s="424">
        <v>41017899</v>
      </c>
      <c r="P212" s="424">
        <v>1730880</v>
      </c>
      <c r="Q212" s="48"/>
      <c r="R212" s="424">
        <v>0</v>
      </c>
      <c r="S212" s="424"/>
      <c r="T212" s="48"/>
      <c r="U212" s="413">
        <v>35323979.52755905</v>
      </c>
      <c r="V212" s="415"/>
      <c r="W212" s="415"/>
      <c r="X212" s="424">
        <v>0</v>
      </c>
    </row>
    <row r="213" spans="2:24" ht="12.75" outlineLevel="1">
      <c r="B213" s="447" t="s">
        <v>275</v>
      </c>
      <c r="C213" s="447"/>
      <c r="D213" s="447"/>
      <c r="E213" s="49"/>
      <c r="F213" s="49"/>
      <c r="G213" s="50"/>
      <c r="H213" s="48"/>
      <c r="I213" s="48"/>
      <c r="J213" s="49"/>
      <c r="K213" s="48"/>
      <c r="L213" s="50"/>
      <c r="M213" s="48"/>
      <c r="N213" s="48"/>
      <c r="O213" s="421"/>
      <c r="P213" s="421"/>
      <c r="Q213" s="48"/>
      <c r="R213" s="421"/>
      <c r="S213" s="421"/>
      <c r="T213" s="48"/>
      <c r="U213" s="414"/>
      <c r="V213" s="421"/>
      <c r="W213" s="421"/>
      <c r="X213" s="421"/>
    </row>
    <row r="214" spans="2:24" ht="12.75" outlineLevel="1">
      <c r="B214" s="448" t="s">
        <v>245</v>
      </c>
      <c r="C214" s="447"/>
      <c r="D214" s="447"/>
      <c r="E214" s="49"/>
      <c r="F214" s="49"/>
      <c r="G214" s="50"/>
      <c r="H214" s="48"/>
      <c r="I214" s="48"/>
      <c r="J214" s="49"/>
      <c r="K214" s="48"/>
      <c r="L214" s="50"/>
      <c r="M214" s="48"/>
      <c r="N214" s="48"/>
      <c r="O214" s="421"/>
      <c r="P214" s="421"/>
      <c r="Q214" s="48"/>
      <c r="R214" s="421"/>
      <c r="S214" s="421"/>
      <c r="T214" s="48"/>
      <c r="U214" s="414"/>
      <c r="V214" s="421"/>
      <c r="W214" s="421"/>
      <c r="X214" s="421"/>
    </row>
    <row r="215" spans="2:24" ht="12.75" outlineLevel="1">
      <c r="B215" s="447" t="s">
        <v>230</v>
      </c>
      <c r="C215" s="447"/>
      <c r="D215" s="447"/>
      <c r="E215" s="54">
        <v>302</v>
      </c>
      <c r="F215" s="53">
        <v>429.25</v>
      </c>
      <c r="G215" s="47">
        <v>0</v>
      </c>
      <c r="H215" s="404">
        <f>O215+P215</f>
        <v>3529</v>
      </c>
      <c r="I215" s="404">
        <f>R215+S215</f>
        <v>6425.081429012352</v>
      </c>
      <c r="J215" s="53">
        <v>105.31944444444444</v>
      </c>
      <c r="K215" s="404">
        <f>SUM(U215:X215)</f>
        <v>15236.75</v>
      </c>
      <c r="L215" s="47">
        <v>204.77666666666653</v>
      </c>
      <c r="M215" s="404">
        <f>SUM(E215:L215)</f>
        <v>26232.177540123463</v>
      </c>
      <c r="N215" s="48"/>
      <c r="O215" s="424">
        <v>3528</v>
      </c>
      <c r="P215" s="424">
        <v>1</v>
      </c>
      <c r="Q215" s="48"/>
      <c r="R215" s="424">
        <v>6425.081429012352</v>
      </c>
      <c r="S215" s="424"/>
      <c r="T215" s="48"/>
      <c r="U215" s="413">
        <v>15027.416666666666</v>
      </c>
      <c r="V215" s="415"/>
      <c r="W215" s="415"/>
      <c r="X215" s="424">
        <v>209.33333333333334</v>
      </c>
    </row>
    <row r="216" spans="2:24" ht="12.75" outlineLevel="1">
      <c r="B216" s="447" t="s">
        <v>242</v>
      </c>
      <c r="C216" s="447"/>
      <c r="D216" s="447"/>
      <c r="E216" s="54">
        <v>23758</v>
      </c>
      <c r="F216" s="53">
        <v>21322.5</v>
      </c>
      <c r="G216" s="47">
        <v>0</v>
      </c>
      <c r="H216" s="404">
        <f>O216+P216</f>
        <v>90608</v>
      </c>
      <c r="I216" s="404">
        <f>R216+S216</f>
        <v>213843.63391203652</v>
      </c>
      <c r="J216" s="53">
        <v>6636</v>
      </c>
      <c r="K216" s="404">
        <f>SUM(U216:X216)</f>
        <v>694939.2338827839</v>
      </c>
      <c r="L216" s="47">
        <v>8709.717391304348</v>
      </c>
      <c r="M216" s="404">
        <f>SUM(E216:L216)</f>
        <v>1059817.085186125</v>
      </c>
      <c r="N216" s="48"/>
      <c r="O216" s="424">
        <v>90566</v>
      </c>
      <c r="P216" s="424">
        <v>42</v>
      </c>
      <c r="Q216" s="48"/>
      <c r="R216" s="424">
        <v>213843.63391203652</v>
      </c>
      <c r="S216" s="424"/>
      <c r="T216" s="48"/>
      <c r="U216" s="413">
        <v>682130.6505494505</v>
      </c>
      <c r="V216" s="415"/>
      <c r="W216" s="415"/>
      <c r="X216" s="424">
        <v>12808.583333333334</v>
      </c>
    </row>
    <row r="217" spans="2:24" ht="12.75" outlineLevel="1">
      <c r="B217" s="447" t="s">
        <v>246</v>
      </c>
      <c r="C217" s="447"/>
      <c r="D217" s="447"/>
      <c r="E217" s="54">
        <v>15619378</v>
      </c>
      <c r="F217" s="53">
        <v>6616072</v>
      </c>
      <c r="G217" s="47">
        <v>0</v>
      </c>
      <c r="H217" s="404">
        <f>O217+P217</f>
        <v>63928458</v>
      </c>
      <c r="I217" s="404">
        <f>R217+S217</f>
        <v>166255601.1486593</v>
      </c>
      <c r="J217" s="53">
        <v>5565758</v>
      </c>
      <c r="K217" s="404">
        <f>SUM(U217:X217)</f>
        <v>432833734.52159387</v>
      </c>
      <c r="L217" s="47">
        <v>7529518.710307768</v>
      </c>
      <c r="M217" s="404">
        <f>SUM(E217:L217)</f>
        <v>698348520.3805609</v>
      </c>
      <c r="N217" s="48"/>
      <c r="O217" s="424">
        <v>63923780</v>
      </c>
      <c r="P217" s="424">
        <v>4678</v>
      </c>
      <c r="Q217" s="48"/>
      <c r="R217" s="424">
        <v>166255601.1486593</v>
      </c>
      <c r="S217" s="424"/>
      <c r="T217" s="48"/>
      <c r="U217" s="413">
        <v>426196082.52159387</v>
      </c>
      <c r="V217" s="415"/>
      <c r="W217" s="415"/>
      <c r="X217" s="424">
        <v>6637652</v>
      </c>
    </row>
    <row r="218" spans="2:24" ht="12.75" outlineLevel="1">
      <c r="B218" s="447" t="s">
        <v>233</v>
      </c>
      <c r="C218" s="447"/>
      <c r="D218" s="447"/>
      <c r="E218" s="54">
        <v>31625622</v>
      </c>
      <c r="F218" s="53">
        <v>12916512</v>
      </c>
      <c r="G218" s="47">
        <v>0</v>
      </c>
      <c r="H218" s="404">
        <f>O218+P218</f>
        <v>96963207</v>
      </c>
      <c r="I218" s="404">
        <f>R218+S218</f>
        <v>260903088.65829483</v>
      </c>
      <c r="J218" s="53">
        <v>10617432</v>
      </c>
      <c r="K218" s="404">
        <f>SUM(U218:X218)</f>
        <v>682841217.1601062</v>
      </c>
      <c r="L218" s="47">
        <v>9748896.69360764</v>
      </c>
      <c r="M218" s="404">
        <f>SUM(E218:L218)</f>
        <v>1105615975.5120084</v>
      </c>
      <c r="N218" s="48"/>
      <c r="O218" s="424">
        <v>96934539</v>
      </c>
      <c r="P218" s="424">
        <v>28668</v>
      </c>
      <c r="Q218" s="48"/>
      <c r="R218" s="424">
        <v>260903088.65829483</v>
      </c>
      <c r="S218" s="424"/>
      <c r="T218" s="48"/>
      <c r="U218" s="413">
        <v>670346798.1601062</v>
      </c>
      <c r="V218" s="415"/>
      <c r="W218" s="415"/>
      <c r="X218" s="424">
        <v>12494419</v>
      </c>
    </row>
    <row r="219" spans="2:24" ht="12.75" outlineLevel="1">
      <c r="B219" s="447" t="s">
        <v>234</v>
      </c>
      <c r="C219" s="447"/>
      <c r="D219" s="447"/>
      <c r="E219" s="54">
        <v>859352</v>
      </c>
      <c r="F219" s="53">
        <v>0</v>
      </c>
      <c r="G219" s="47">
        <v>0</v>
      </c>
      <c r="H219" s="404">
        <f>O219+P219</f>
        <v>0</v>
      </c>
      <c r="I219" s="404">
        <f>R219+S219</f>
        <v>0</v>
      </c>
      <c r="J219" s="53">
        <v>266992</v>
      </c>
      <c r="K219" s="404">
        <f>SUM(U219:X219)</f>
        <v>17707362.204724405</v>
      </c>
      <c r="L219" s="47">
        <v>0</v>
      </c>
      <c r="M219" s="404">
        <f>SUM(E219:L219)</f>
        <v>18833706.204724405</v>
      </c>
      <c r="N219" s="48"/>
      <c r="O219" s="424">
        <v>0</v>
      </c>
      <c r="P219" s="424">
        <v>0</v>
      </c>
      <c r="Q219" s="48"/>
      <c r="R219" s="424">
        <v>0</v>
      </c>
      <c r="S219" s="424"/>
      <c r="T219" s="48"/>
      <c r="U219" s="413">
        <v>17707362.204724405</v>
      </c>
      <c r="V219" s="415"/>
      <c r="W219" s="415"/>
      <c r="X219" s="424">
        <v>0</v>
      </c>
    </row>
    <row r="220" spans="2:24" ht="12.75" outlineLevel="1">
      <c r="B220" s="447" t="s">
        <v>275</v>
      </c>
      <c r="C220" s="447"/>
      <c r="D220" s="447"/>
      <c r="E220" s="49"/>
      <c r="F220" s="49"/>
      <c r="G220" s="50"/>
      <c r="H220" s="48"/>
      <c r="I220" s="48"/>
      <c r="J220" s="49"/>
      <c r="K220" s="48"/>
      <c r="L220" s="50"/>
      <c r="M220" s="48"/>
      <c r="N220" s="48"/>
      <c r="O220" s="421"/>
      <c r="P220" s="421"/>
      <c r="Q220" s="48"/>
      <c r="R220" s="421"/>
      <c r="S220" s="421"/>
      <c r="T220" s="48"/>
      <c r="U220" s="414"/>
      <c r="V220" s="421"/>
      <c r="W220" s="421"/>
      <c r="X220" s="421"/>
    </row>
    <row r="221" spans="2:24" ht="12.75" outlineLevel="1">
      <c r="B221" s="448" t="s">
        <v>247</v>
      </c>
      <c r="C221" s="454"/>
      <c r="D221" s="454"/>
      <c r="E221" s="49"/>
      <c r="F221" s="49"/>
      <c r="G221" s="50"/>
      <c r="H221" s="48"/>
      <c r="I221" s="48"/>
      <c r="J221" s="49"/>
      <c r="K221" s="48"/>
      <c r="L221" s="50"/>
      <c r="M221" s="48"/>
      <c r="N221" s="48"/>
      <c r="O221" s="421"/>
      <c r="P221" s="421"/>
      <c r="Q221" s="48"/>
      <c r="R221" s="421"/>
      <c r="S221" s="421"/>
      <c r="T221" s="48"/>
      <c r="U221" s="414"/>
      <c r="V221" s="421"/>
      <c r="W221" s="421"/>
      <c r="X221" s="421"/>
    </row>
    <row r="222" spans="2:24" ht="12.75" outlineLevel="1">
      <c r="B222" s="447" t="s">
        <v>230</v>
      </c>
      <c r="C222" s="454"/>
      <c r="D222" s="454"/>
      <c r="E222" s="54">
        <v>1087</v>
      </c>
      <c r="F222" s="53">
        <v>5818.1525</v>
      </c>
      <c r="G222" s="47">
        <v>748.6024886520268</v>
      </c>
      <c r="H222" s="404">
        <f>O222+P222</f>
        <v>81983</v>
      </c>
      <c r="I222" s="404">
        <f>R222+S222</f>
        <v>67148.0989497717</v>
      </c>
      <c r="J222" s="53">
        <v>1117</v>
      </c>
      <c r="K222" s="404">
        <f>SUM(U222:X222)</f>
        <v>64948.128333333334</v>
      </c>
      <c r="L222" s="47">
        <v>4283.1738888888885</v>
      </c>
      <c r="M222" s="404">
        <f>SUM(E222:L222)</f>
        <v>227133.15616064594</v>
      </c>
      <c r="N222" s="48"/>
      <c r="O222" s="424">
        <v>80713</v>
      </c>
      <c r="P222" s="424">
        <v>1270</v>
      </c>
      <c r="Q222" s="48"/>
      <c r="R222" s="424">
        <v>67148.0989497717</v>
      </c>
      <c r="S222" s="424"/>
      <c r="T222" s="48"/>
      <c r="U222" s="413">
        <v>63286.128333333334</v>
      </c>
      <c r="V222" s="415"/>
      <c r="W222" s="415"/>
      <c r="X222" s="424">
        <v>1662</v>
      </c>
    </row>
    <row r="223" spans="2:24" ht="12.75" outlineLevel="1">
      <c r="B223" s="551" t="s">
        <v>242</v>
      </c>
      <c r="C223" s="454"/>
      <c r="D223" s="454"/>
      <c r="E223" s="61">
        <v>13365</v>
      </c>
      <c r="F223" s="60">
        <v>132541.87083333332</v>
      </c>
      <c r="G223" s="58">
        <v>19953.369911171743</v>
      </c>
      <c r="H223" s="402">
        <f>O223+P223</f>
        <v>2393907</v>
      </c>
      <c r="I223" s="402">
        <f>R223+S223</f>
        <v>2210686.1478847293</v>
      </c>
      <c r="J223" s="60">
        <v>13941.5</v>
      </c>
      <c r="K223" s="402">
        <f>SUM(U223:X223)</f>
        <v>1949114.3010989008</v>
      </c>
      <c r="L223" s="58">
        <v>117832.20572640511</v>
      </c>
      <c r="M223" s="402">
        <f>SUM(E223:L223)</f>
        <v>6851341.39545454</v>
      </c>
      <c r="N223" s="48"/>
      <c r="O223" s="556">
        <v>2354197</v>
      </c>
      <c r="P223" s="556">
        <v>39710</v>
      </c>
      <c r="Q223" s="48"/>
      <c r="R223" s="556">
        <v>2210686.1478847293</v>
      </c>
      <c r="S223" s="556"/>
      <c r="T223" s="48"/>
      <c r="U223" s="557">
        <v>1901896.3010989008</v>
      </c>
      <c r="V223" s="415"/>
      <c r="W223" s="415"/>
      <c r="X223" s="556">
        <v>47218</v>
      </c>
    </row>
    <row r="224" spans="2:24" ht="12.75" outlineLevel="1">
      <c r="B224" s="551" t="s">
        <v>246</v>
      </c>
      <c r="C224" s="454"/>
      <c r="D224" s="454"/>
      <c r="E224" s="61">
        <v>13101862</v>
      </c>
      <c r="F224" s="60">
        <v>89523710.61503299</v>
      </c>
      <c r="G224" s="58">
        <v>11367800.661022518</v>
      </c>
      <c r="H224" s="402">
        <f>O224+P224</f>
        <v>1183158821</v>
      </c>
      <c r="I224" s="402">
        <f>R224+S224</f>
        <v>993224147.6888692</v>
      </c>
      <c r="J224" s="60">
        <v>10716684</v>
      </c>
      <c r="K224" s="402">
        <f>SUM(U224:X224)</f>
        <v>713208024.1482062</v>
      </c>
      <c r="L224" s="58">
        <v>58956257.93844649</v>
      </c>
      <c r="M224" s="402">
        <f>SUM(E224:L224)</f>
        <v>3073257308.0515776</v>
      </c>
      <c r="N224" s="48"/>
      <c r="O224" s="556">
        <v>1162153413</v>
      </c>
      <c r="P224" s="556">
        <v>21005408</v>
      </c>
      <c r="Q224" s="48"/>
      <c r="R224" s="556">
        <v>993224147.6888692</v>
      </c>
      <c r="S224" s="556"/>
      <c r="T224" s="48"/>
      <c r="U224" s="557">
        <v>698883267.1482062</v>
      </c>
      <c r="V224" s="415"/>
      <c r="W224" s="415"/>
      <c r="X224" s="556">
        <v>14324757</v>
      </c>
    </row>
    <row r="225" spans="2:24" ht="12.75" outlineLevel="1">
      <c r="B225" s="551" t="s">
        <v>233</v>
      </c>
      <c r="C225" s="454"/>
      <c r="D225" s="454"/>
      <c r="E225" s="61">
        <v>22513262</v>
      </c>
      <c r="F225" s="60">
        <v>108323589.5438603</v>
      </c>
      <c r="G225" s="58">
        <v>10978447.420745948</v>
      </c>
      <c r="H225" s="402">
        <f>O225+P225</f>
        <v>1397942720</v>
      </c>
      <c r="I225" s="402">
        <f>R225+S225</f>
        <v>1266352542.343974</v>
      </c>
      <c r="J225" s="60">
        <v>24141683.66235033</v>
      </c>
      <c r="K225" s="402">
        <f>SUM(U225:X225)</f>
        <v>1043697277.9342166</v>
      </c>
      <c r="L225" s="58">
        <v>78840523.43864805</v>
      </c>
      <c r="M225" s="402">
        <f>SUM(E225:L225)</f>
        <v>3952790046.3437953</v>
      </c>
      <c r="N225" s="48"/>
      <c r="O225" s="556">
        <v>1373110765</v>
      </c>
      <c r="P225" s="556">
        <v>24831955</v>
      </c>
      <c r="Q225" s="48"/>
      <c r="R225" s="556">
        <v>1266352542.343974</v>
      </c>
      <c r="S225" s="556"/>
      <c r="T225" s="48"/>
      <c r="U225" s="557">
        <v>1021804513.9342166</v>
      </c>
      <c r="V225" s="415"/>
      <c r="W225" s="415"/>
      <c r="X225" s="556">
        <v>21892764</v>
      </c>
    </row>
    <row r="226" spans="2:24" ht="12.75" outlineLevel="1">
      <c r="B226" s="447" t="s">
        <v>275</v>
      </c>
      <c r="C226" s="454"/>
      <c r="D226" s="454"/>
      <c r="E226" s="49"/>
      <c r="F226" s="49"/>
      <c r="G226" s="50"/>
      <c r="H226" s="48"/>
      <c r="I226" s="48"/>
      <c r="J226" s="49"/>
      <c r="K226" s="48"/>
      <c r="L226" s="50"/>
      <c r="M226" s="48"/>
      <c r="N226" s="48"/>
      <c r="O226" s="421"/>
      <c r="P226" s="421"/>
      <c r="Q226" s="48"/>
      <c r="R226" s="421"/>
      <c r="S226" s="421"/>
      <c r="T226" s="48"/>
      <c r="U226" s="414"/>
      <c r="V226" s="421"/>
      <c r="W226" s="421"/>
      <c r="X226" s="421"/>
    </row>
    <row r="227" spans="2:24" ht="12.75" outlineLevel="1">
      <c r="B227" s="448" t="s">
        <v>248</v>
      </c>
      <c r="C227" s="454"/>
      <c r="D227" s="454"/>
      <c r="E227" s="49"/>
      <c r="F227" s="49"/>
      <c r="G227" s="50"/>
      <c r="H227" s="48"/>
      <c r="I227" s="48"/>
      <c r="J227" s="49"/>
      <c r="K227" s="48"/>
      <c r="L227" s="50"/>
      <c r="M227" s="48"/>
      <c r="N227" s="48"/>
      <c r="O227" s="421"/>
      <c r="P227" s="421"/>
      <c r="Q227" s="48"/>
      <c r="R227" s="421"/>
      <c r="S227" s="421"/>
      <c r="T227" s="48"/>
      <c r="U227" s="414"/>
      <c r="V227" s="421"/>
      <c r="W227" s="421"/>
      <c r="X227" s="421"/>
    </row>
    <row r="228" spans="2:24" ht="12.75" outlineLevel="1">
      <c r="B228" s="447" t="s">
        <v>230</v>
      </c>
      <c r="C228" s="454"/>
      <c r="D228" s="454"/>
      <c r="E228" s="53">
        <v>484</v>
      </c>
      <c r="F228" s="53">
        <v>2188.6475</v>
      </c>
      <c r="G228" s="47">
        <v>2395.658903110037</v>
      </c>
      <c r="H228" s="404">
        <f>O228+P228</f>
        <v>34534</v>
      </c>
      <c r="I228" s="404">
        <f>R228+S228</f>
        <v>45909.30017503806</v>
      </c>
      <c r="J228" s="53">
        <v>0</v>
      </c>
      <c r="K228" s="404">
        <f>SUM(U228:X228)</f>
        <v>8573.023888888889</v>
      </c>
      <c r="L228" s="47">
        <v>0</v>
      </c>
      <c r="M228" s="404">
        <f>SUM(E228:L228)</f>
        <v>94084.63046703697</v>
      </c>
      <c r="N228" s="48"/>
      <c r="O228" s="560">
        <v>34120</v>
      </c>
      <c r="P228" s="560">
        <v>414</v>
      </c>
      <c r="Q228" s="48"/>
      <c r="R228" s="560">
        <v>45909.30017503806</v>
      </c>
      <c r="S228" s="560"/>
      <c r="T228" s="48"/>
      <c r="U228" s="565">
        <v>8363.023888888889</v>
      </c>
      <c r="V228" s="415"/>
      <c r="W228" s="415"/>
      <c r="X228" s="560">
        <v>210</v>
      </c>
    </row>
    <row r="229" spans="2:24" ht="12.75" outlineLevel="1">
      <c r="B229" s="551" t="s">
        <v>242</v>
      </c>
      <c r="C229" s="454"/>
      <c r="D229" s="454"/>
      <c r="E229" s="60">
        <v>5983</v>
      </c>
      <c r="F229" s="60">
        <v>47063.74166666666</v>
      </c>
      <c r="G229" s="58">
        <v>79111.51511130203</v>
      </c>
      <c r="H229" s="402">
        <f>O229+P229</f>
        <v>1010468</v>
      </c>
      <c r="I229" s="402">
        <f>R229+S229</f>
        <v>1504648.7675434847</v>
      </c>
      <c r="J229" s="60">
        <v>0</v>
      </c>
      <c r="K229" s="402">
        <f>SUM(U229:X229)</f>
        <v>219186.0571428572</v>
      </c>
      <c r="L229" s="58">
        <v>0</v>
      </c>
      <c r="M229" s="402">
        <f>SUM(E229:L229)</f>
        <v>2866461.0814643106</v>
      </c>
      <c r="N229" s="48"/>
      <c r="O229" s="556">
        <v>998624</v>
      </c>
      <c r="P229" s="556">
        <v>11844</v>
      </c>
      <c r="Q229" s="48"/>
      <c r="R229" s="556">
        <v>1504648.7675434847</v>
      </c>
      <c r="S229" s="556"/>
      <c r="T229" s="48"/>
      <c r="U229" s="557">
        <v>211466.0571428572</v>
      </c>
      <c r="V229" s="415"/>
      <c r="W229" s="415"/>
      <c r="X229" s="556">
        <v>7720</v>
      </c>
    </row>
    <row r="230" spans="2:24" ht="12.75" outlineLevel="1">
      <c r="B230" s="551" t="s">
        <v>249</v>
      </c>
      <c r="C230" s="454"/>
      <c r="D230" s="454"/>
      <c r="E230" s="60">
        <v>11431103</v>
      </c>
      <c r="F230" s="60">
        <v>44920045.876958475</v>
      </c>
      <c r="G230" s="58">
        <v>62215316.39570608</v>
      </c>
      <c r="H230" s="402">
        <f>O230+P230</f>
        <v>813391185</v>
      </c>
      <c r="I230" s="402">
        <f>R230+S230</f>
        <v>978770309.0481484</v>
      </c>
      <c r="J230" s="60">
        <v>0</v>
      </c>
      <c r="K230" s="402">
        <f>SUM(U230:X230)</f>
        <v>144607532.82426006</v>
      </c>
      <c r="L230" s="58">
        <v>0</v>
      </c>
      <c r="M230" s="402">
        <f>SUM(E230:L230)</f>
        <v>2055335492.145073</v>
      </c>
      <c r="N230" s="48"/>
      <c r="O230" s="556">
        <v>803250661</v>
      </c>
      <c r="P230" s="556">
        <v>10140524</v>
      </c>
      <c r="Q230" s="48"/>
      <c r="R230" s="556">
        <v>978770309.0481484</v>
      </c>
      <c r="S230" s="556"/>
      <c r="T230" s="48"/>
      <c r="U230" s="557">
        <v>141784322.82426006</v>
      </c>
      <c r="V230" s="415"/>
      <c r="W230" s="415"/>
      <c r="X230" s="556">
        <v>2823210</v>
      </c>
    </row>
    <row r="231" spans="2:24" ht="12.75" outlineLevel="1">
      <c r="B231" s="447" t="s">
        <v>275</v>
      </c>
      <c r="C231" s="454"/>
      <c r="D231" s="454"/>
      <c r="E231" s="49"/>
      <c r="F231" s="49"/>
      <c r="G231" s="50"/>
      <c r="H231" s="48"/>
      <c r="I231" s="48"/>
      <c r="J231" s="49"/>
      <c r="K231" s="48"/>
      <c r="L231" s="50"/>
      <c r="M231" s="48"/>
      <c r="N231" s="48"/>
      <c r="O231" s="421"/>
      <c r="P231" s="421"/>
      <c r="Q231" s="48"/>
      <c r="R231" s="421"/>
      <c r="S231" s="421"/>
      <c r="T231" s="48"/>
      <c r="U231" s="414"/>
      <c r="V231" s="421"/>
      <c r="W231" s="421"/>
      <c r="X231" s="421"/>
    </row>
    <row r="232" spans="2:24" ht="12.75" outlineLevel="1">
      <c r="B232" s="448" t="s">
        <v>250</v>
      </c>
      <c r="C232" s="454"/>
      <c r="D232" s="454"/>
      <c r="E232" s="49"/>
      <c r="F232" s="49"/>
      <c r="G232" s="50"/>
      <c r="H232" s="48"/>
      <c r="I232" s="48"/>
      <c r="J232" s="49"/>
      <c r="K232" s="48"/>
      <c r="L232" s="50"/>
      <c r="M232" s="48"/>
      <c r="N232" s="48"/>
      <c r="O232" s="421"/>
      <c r="P232" s="421"/>
      <c r="Q232" s="48"/>
      <c r="R232" s="421"/>
      <c r="S232" s="421"/>
      <c r="T232" s="48"/>
      <c r="U232" s="414"/>
      <c r="V232" s="421"/>
      <c r="W232" s="421"/>
      <c r="X232" s="421"/>
    </row>
    <row r="233" spans="2:24" ht="12.75" outlineLevel="1">
      <c r="B233" s="447" t="s">
        <v>230</v>
      </c>
      <c r="C233" s="454"/>
      <c r="D233" s="454"/>
      <c r="E233" s="53">
        <v>31256</v>
      </c>
      <c r="F233" s="53">
        <v>72700.28166666665</v>
      </c>
      <c r="G233" s="47">
        <v>7408.905333268406</v>
      </c>
      <c r="H233" s="404">
        <f>O233+P233</f>
        <v>1069689</v>
      </c>
      <c r="I233" s="404">
        <f>R233+S233</f>
        <v>755969.4315449012</v>
      </c>
      <c r="J233" s="53">
        <v>17138.212850910535</v>
      </c>
      <c r="K233" s="404">
        <f>SUM(U233:X233)</f>
        <v>1370561.680555556</v>
      </c>
      <c r="L233" s="47">
        <v>40608.753888888896</v>
      </c>
      <c r="M233" s="404">
        <f>SUM(E233:L233)</f>
        <v>3365332.2658401914</v>
      </c>
      <c r="N233" s="48"/>
      <c r="O233" s="560">
        <v>1049738</v>
      </c>
      <c r="P233" s="560">
        <v>19951</v>
      </c>
      <c r="Q233" s="48"/>
      <c r="R233" s="560">
        <v>755969.4315449012</v>
      </c>
      <c r="S233" s="560"/>
      <c r="T233" s="48"/>
      <c r="U233" s="565">
        <v>1345212.680555556</v>
      </c>
      <c r="V233" s="415"/>
      <c r="W233" s="415"/>
      <c r="X233" s="560">
        <v>25349</v>
      </c>
    </row>
    <row r="234" spans="2:24" ht="12.75" outlineLevel="1">
      <c r="B234" s="551" t="s">
        <v>246</v>
      </c>
      <c r="C234" s="454"/>
      <c r="D234" s="454"/>
      <c r="E234" s="60">
        <v>59836154</v>
      </c>
      <c r="F234" s="60">
        <v>178700282.86062685</v>
      </c>
      <c r="G234" s="58">
        <v>22484579.716099344</v>
      </c>
      <c r="H234" s="402">
        <f>O234+P234</f>
        <v>2651990064</v>
      </c>
      <c r="I234" s="402">
        <f>R234+S234</f>
        <v>1994835121.595283</v>
      </c>
      <c r="J234" s="60">
        <v>33658229.785184935</v>
      </c>
      <c r="K234" s="402">
        <f>SUM(U234:X234)</f>
        <v>2422920669.3917336</v>
      </c>
      <c r="L234" s="58">
        <v>75385964.3373494</v>
      </c>
      <c r="M234" s="402">
        <f>SUM(E234:L234)</f>
        <v>7439811065.6862755</v>
      </c>
      <c r="N234" s="48"/>
      <c r="O234" s="556">
        <v>2604545200</v>
      </c>
      <c r="P234" s="556">
        <v>47444864</v>
      </c>
      <c r="Q234" s="48"/>
      <c r="R234" s="556">
        <v>1994835121.595283</v>
      </c>
      <c r="S234" s="556"/>
      <c r="T234" s="48"/>
      <c r="U234" s="557">
        <v>2380015785.3917336</v>
      </c>
      <c r="V234" s="415"/>
      <c r="W234" s="415"/>
      <c r="X234" s="556">
        <v>42904884</v>
      </c>
    </row>
    <row r="235" spans="2:24" ht="12.75" outlineLevel="1">
      <c r="B235" s="551" t="s">
        <v>233</v>
      </c>
      <c r="C235" s="454"/>
      <c r="D235" s="454"/>
      <c r="E235" s="60">
        <v>67202927</v>
      </c>
      <c r="F235" s="60">
        <v>176374216.63354418</v>
      </c>
      <c r="G235" s="58">
        <v>15999082.963072244</v>
      </c>
      <c r="H235" s="402">
        <f>O235+P235</f>
        <v>2264968972</v>
      </c>
      <c r="I235" s="402">
        <f>R235+S235</f>
        <v>1936608066.1445348</v>
      </c>
      <c r="J235" s="60">
        <v>37997377.343002975</v>
      </c>
      <c r="K235" s="402">
        <f>SUM(U235:X235)</f>
        <v>2532665410.531884</v>
      </c>
      <c r="L235" s="58">
        <v>94024918.81666332</v>
      </c>
      <c r="M235" s="402">
        <f>SUM(E235:L235)</f>
        <v>7125840971.432702</v>
      </c>
      <c r="N235" s="48"/>
      <c r="O235" s="556">
        <v>2228921197</v>
      </c>
      <c r="P235" s="556">
        <v>36047775</v>
      </c>
      <c r="Q235" s="48"/>
      <c r="R235" s="556">
        <v>1936608066.1445348</v>
      </c>
      <c r="S235" s="556"/>
      <c r="T235" s="48"/>
      <c r="U235" s="557">
        <v>2491028783.531884</v>
      </c>
      <c r="V235" s="415"/>
      <c r="W235" s="415"/>
      <c r="X235" s="556">
        <v>41636627</v>
      </c>
    </row>
    <row r="236" spans="2:24" ht="12.75" outlineLevel="1">
      <c r="B236" s="447" t="s">
        <v>275</v>
      </c>
      <c r="C236" s="454"/>
      <c r="D236" s="454"/>
      <c r="E236" s="52"/>
      <c r="F236" s="52"/>
      <c r="G236" s="50"/>
      <c r="H236" s="48"/>
      <c r="I236" s="48"/>
      <c r="J236" s="52"/>
      <c r="K236" s="48"/>
      <c r="L236" s="50"/>
      <c r="M236" s="48"/>
      <c r="N236" s="48"/>
      <c r="O236" s="423"/>
      <c r="P236" s="423"/>
      <c r="Q236" s="48"/>
      <c r="R236" s="423"/>
      <c r="S236" s="423"/>
      <c r="T236" s="48"/>
      <c r="U236" s="414"/>
      <c r="V236" s="423"/>
      <c r="W236" s="423"/>
      <c r="X236" s="423"/>
    </row>
    <row r="237" spans="2:24" ht="12.75" outlineLevel="1">
      <c r="B237" s="448" t="s">
        <v>251</v>
      </c>
      <c r="C237" s="454"/>
      <c r="D237" s="454"/>
      <c r="E237" s="49"/>
      <c r="F237" s="49"/>
      <c r="G237" s="50"/>
      <c r="H237" s="48"/>
      <c r="I237" s="48"/>
      <c r="J237" s="49"/>
      <c r="K237" s="48"/>
      <c r="L237" s="50"/>
      <c r="M237" s="48"/>
      <c r="N237" s="48"/>
      <c r="O237" s="421"/>
      <c r="P237" s="421"/>
      <c r="Q237" s="48"/>
      <c r="R237" s="421"/>
      <c r="S237" s="421"/>
      <c r="T237" s="48"/>
      <c r="U237" s="414"/>
      <c r="V237" s="421"/>
      <c r="W237" s="421"/>
      <c r="X237" s="421"/>
    </row>
    <row r="238" spans="2:24" ht="12.75" outlineLevel="1">
      <c r="B238" s="447" t="s">
        <v>230</v>
      </c>
      <c r="C238" s="454"/>
      <c r="D238" s="454"/>
      <c r="E238" s="53">
        <v>18242</v>
      </c>
      <c r="F238" s="53">
        <v>115707.32416666669</v>
      </c>
      <c r="G238" s="47">
        <v>89566.44879912009</v>
      </c>
      <c r="H238" s="404">
        <f>O238+P238</f>
        <v>1312402</v>
      </c>
      <c r="I238" s="404">
        <f>R238+S238</f>
        <v>1894300.6980593621</v>
      </c>
      <c r="J238" s="53">
        <v>12240.287149089465</v>
      </c>
      <c r="K238" s="404">
        <f>SUM(U238:X238)</f>
        <v>514215.9572222221</v>
      </c>
      <c r="L238" s="47">
        <v>5484.238888888888</v>
      </c>
      <c r="M238" s="404">
        <f>SUM(E238:L238)</f>
        <v>3962158.954285349</v>
      </c>
      <c r="N238" s="48"/>
      <c r="O238" s="560">
        <v>1287727</v>
      </c>
      <c r="P238" s="560">
        <v>24675</v>
      </c>
      <c r="Q238" s="48"/>
      <c r="R238" s="560">
        <v>1894300.6980593621</v>
      </c>
      <c r="S238" s="560"/>
      <c r="T238" s="48"/>
      <c r="U238" s="565">
        <v>504263.4572222221</v>
      </c>
      <c r="V238" s="415"/>
      <c r="W238" s="415"/>
      <c r="X238" s="560">
        <v>9952.5</v>
      </c>
    </row>
    <row r="239" spans="2:24" ht="12.75" outlineLevel="1">
      <c r="B239" s="551" t="s">
        <v>249</v>
      </c>
      <c r="C239" s="454"/>
      <c r="D239" s="454"/>
      <c r="E239" s="60">
        <v>49282119</v>
      </c>
      <c r="F239" s="60">
        <v>332375348.38196343</v>
      </c>
      <c r="G239" s="58">
        <v>302051262.8740225</v>
      </c>
      <c r="H239" s="402">
        <f>O239+P239</f>
        <v>4343448348</v>
      </c>
      <c r="I239" s="402">
        <f>R239+S239</f>
        <v>5838525951.103242</v>
      </c>
      <c r="J239" s="60">
        <v>32670538.711109348</v>
      </c>
      <c r="K239" s="402">
        <f>SUM(U239:X239)</f>
        <v>1347625411.4794629</v>
      </c>
      <c r="L239" s="58">
        <v>13753450.770261219</v>
      </c>
      <c r="M239" s="402">
        <f>SUM(E239:L239)</f>
        <v>12259732430.320063</v>
      </c>
      <c r="N239" s="48"/>
      <c r="O239" s="556">
        <v>4275906961</v>
      </c>
      <c r="P239" s="556">
        <v>67541387</v>
      </c>
      <c r="Q239" s="48"/>
      <c r="R239" s="556">
        <v>5838525951.103242</v>
      </c>
      <c r="S239" s="556"/>
      <c r="T239" s="48"/>
      <c r="U239" s="557">
        <v>1328115410.4794629</v>
      </c>
      <c r="V239" s="415"/>
      <c r="W239" s="415"/>
      <c r="X239" s="556">
        <v>19510001</v>
      </c>
    </row>
    <row r="240" spans="2:24" ht="12.75" outlineLevel="1">
      <c r="B240" s="447" t="s">
        <v>275</v>
      </c>
      <c r="C240" s="454"/>
      <c r="D240" s="454"/>
      <c r="E240" s="55"/>
      <c r="F240" s="55"/>
      <c r="G240" s="50"/>
      <c r="H240" s="50"/>
      <c r="I240" s="55"/>
      <c r="J240" s="55"/>
      <c r="K240" s="50"/>
      <c r="L240" s="50"/>
      <c r="M240" s="48"/>
      <c r="N240" s="48"/>
      <c r="O240" s="415"/>
      <c r="P240" s="415"/>
      <c r="Q240" s="48"/>
      <c r="R240" s="415"/>
      <c r="S240" s="415"/>
      <c r="T240" s="48"/>
      <c r="U240" s="414"/>
      <c r="V240" s="415"/>
      <c r="W240" s="415"/>
      <c r="X240" s="415"/>
    </row>
    <row r="241" spans="2:24" ht="12.75" outlineLevel="1">
      <c r="B241" s="448" t="s">
        <v>257</v>
      </c>
      <c r="C241" s="454"/>
      <c r="D241" s="454"/>
      <c r="E241" s="55"/>
      <c r="F241" s="55"/>
      <c r="G241" s="50"/>
      <c r="H241" s="50"/>
      <c r="I241" s="55"/>
      <c r="J241" s="55"/>
      <c r="K241" s="50"/>
      <c r="L241" s="50"/>
      <c r="M241" s="48"/>
      <c r="N241" s="48"/>
      <c r="O241" s="415"/>
      <c r="P241" s="415"/>
      <c r="Q241" s="48"/>
      <c r="R241" s="415"/>
      <c r="S241" s="415"/>
      <c r="T241" s="48"/>
      <c r="U241" s="414"/>
      <c r="V241" s="415"/>
      <c r="W241" s="415"/>
      <c r="X241" s="415"/>
    </row>
    <row r="242" spans="2:24" ht="12.75" outlineLevel="1">
      <c r="B242" s="447" t="s">
        <v>230</v>
      </c>
      <c r="C242" s="454"/>
      <c r="D242" s="454"/>
      <c r="E242" s="53">
        <v>21663</v>
      </c>
      <c r="F242" s="53">
        <v>82800</v>
      </c>
      <c r="G242" s="47">
        <v>41640.5</v>
      </c>
      <c r="H242" s="404">
        <f>O242+P242</f>
        <v>990107</v>
      </c>
      <c r="I242" s="427">
        <f>R242+S242</f>
        <v>716304</v>
      </c>
      <c r="J242" s="53">
        <v>17491</v>
      </c>
      <c r="K242" s="403">
        <f>SUM(U242:X242)</f>
        <v>545954.3501974341</v>
      </c>
      <c r="L242" s="47">
        <v>21227.94444444444</v>
      </c>
      <c r="M242" s="404">
        <f>SUM(E242:L242)</f>
        <v>2437187.7946418785</v>
      </c>
      <c r="N242" s="48"/>
      <c r="O242" s="560">
        <v>975448</v>
      </c>
      <c r="P242" s="560">
        <v>14659</v>
      </c>
      <c r="Q242" s="48"/>
      <c r="R242" s="560">
        <v>716304</v>
      </c>
      <c r="S242" s="560"/>
      <c r="T242" s="48"/>
      <c r="U242" s="565">
        <v>537607.3501974341</v>
      </c>
      <c r="V242" s="415"/>
      <c r="W242" s="415"/>
      <c r="X242" s="560">
        <v>8347</v>
      </c>
    </row>
    <row r="243" spans="2:24" ht="12.75" outlineLevel="1">
      <c r="B243" s="551" t="s">
        <v>246</v>
      </c>
      <c r="C243" s="454"/>
      <c r="D243" s="454"/>
      <c r="E243" s="60">
        <v>4391345</v>
      </c>
      <c r="F243" s="60">
        <v>0</v>
      </c>
      <c r="G243" s="58">
        <v>8492196.60225003</v>
      </c>
      <c r="H243" s="402">
        <f>O243+P243</f>
        <v>154109093</v>
      </c>
      <c r="I243" s="561">
        <f>R243+S243</f>
        <v>96644865.3482468</v>
      </c>
      <c r="J243" s="60">
        <v>2330681</v>
      </c>
      <c r="K243" s="58">
        <f>SUM(U243:X243)</f>
        <v>111951179.67556246</v>
      </c>
      <c r="L243" s="58">
        <v>3986300.456242223</v>
      </c>
      <c r="M243" s="402">
        <f>SUM(E243:L243)</f>
        <v>381905661.0823015</v>
      </c>
      <c r="N243" s="48"/>
      <c r="O243" s="556">
        <v>150317812</v>
      </c>
      <c r="P243" s="556">
        <v>3791281</v>
      </c>
      <c r="Q243" s="48"/>
      <c r="R243" s="556">
        <v>96644865.3482468</v>
      </c>
      <c r="S243" s="556"/>
      <c r="T243" s="48"/>
      <c r="U243" s="557">
        <v>111951179.67556246</v>
      </c>
      <c r="V243" s="415"/>
      <c r="W243" s="415"/>
      <c r="X243" s="556">
        <v>0</v>
      </c>
    </row>
    <row r="244" spans="2:24" ht="12.75" outlineLevel="1">
      <c r="B244" s="551" t="s">
        <v>233</v>
      </c>
      <c r="C244" s="454"/>
      <c r="D244" s="454"/>
      <c r="E244" s="59">
        <v>1970364</v>
      </c>
      <c r="F244" s="59">
        <v>15951090</v>
      </c>
      <c r="G244" s="58">
        <v>3785063.2840231257</v>
      </c>
      <c r="H244" s="402">
        <f>O244+P244</f>
        <v>44312015</v>
      </c>
      <c r="I244" s="561">
        <f>R244+S244</f>
        <v>33132636.898873646</v>
      </c>
      <c r="J244" s="60">
        <v>729583</v>
      </c>
      <c r="K244" s="58">
        <f>SUM(U244:X244)</f>
        <v>39050316.86031451</v>
      </c>
      <c r="L244" s="58">
        <v>1474849.1823639</v>
      </c>
      <c r="M244" s="402">
        <f>SUM(E244:L244)</f>
        <v>140405918.22557518</v>
      </c>
      <c r="N244" s="48"/>
      <c r="O244" s="556">
        <v>43255987</v>
      </c>
      <c r="P244" s="556">
        <v>1056028</v>
      </c>
      <c r="Q244" s="48"/>
      <c r="R244" s="556">
        <v>33132636.898873646</v>
      </c>
      <c r="S244" s="556"/>
      <c r="T244" s="48"/>
      <c r="U244" s="557">
        <v>36022552.86031451</v>
      </c>
      <c r="V244" s="415"/>
      <c r="W244" s="415"/>
      <c r="X244" s="556">
        <v>3027764</v>
      </c>
    </row>
    <row r="245" spans="2:24" ht="12.75" outlineLevel="1">
      <c r="B245" s="454"/>
      <c r="C245" s="454"/>
      <c r="D245" s="454"/>
      <c r="E245" s="49"/>
      <c r="F245" s="49"/>
      <c r="G245" s="50"/>
      <c r="H245" s="50"/>
      <c r="I245" s="55"/>
      <c r="J245" s="55"/>
      <c r="K245" s="50"/>
      <c r="L245" s="50"/>
      <c r="M245" s="48"/>
      <c r="N245" s="48"/>
      <c r="O245" s="412"/>
      <c r="P245" s="412"/>
      <c r="Q245" s="48"/>
      <c r="R245" s="412"/>
      <c r="S245" s="412"/>
      <c r="T245" s="48"/>
      <c r="U245" s="412"/>
      <c r="V245" s="412"/>
      <c r="W245" s="412"/>
      <c r="X245" s="412"/>
    </row>
    <row r="246" spans="2:24" ht="12.75" outlineLevel="1">
      <c r="B246" s="448" t="s">
        <v>263</v>
      </c>
      <c r="C246" s="471"/>
      <c r="D246" s="471"/>
      <c r="E246" s="49"/>
      <c r="F246" s="49"/>
      <c r="G246" s="50"/>
      <c r="H246" s="50"/>
      <c r="I246" s="55"/>
      <c r="J246" s="55"/>
      <c r="K246" s="50"/>
      <c r="L246" s="50"/>
      <c r="M246" s="48"/>
      <c r="N246" s="48"/>
      <c r="O246" s="412"/>
      <c r="P246" s="412"/>
      <c r="Q246" s="48"/>
      <c r="R246" s="412"/>
      <c r="S246" s="412"/>
      <c r="T246" s="48"/>
      <c r="U246" s="412"/>
      <c r="V246" s="412"/>
      <c r="W246" s="412"/>
      <c r="X246" s="412"/>
    </row>
    <row r="247" spans="2:24" ht="12.75" outlineLevel="1">
      <c r="B247" s="447" t="s">
        <v>264</v>
      </c>
      <c r="C247" s="472"/>
      <c r="D247" s="472"/>
      <c r="E247" s="419">
        <f>E242</f>
        <v>21663</v>
      </c>
      <c r="F247" s="419">
        <f aca="true" t="shared" si="60" ref="F247:L247">F242</f>
        <v>82800</v>
      </c>
      <c r="G247" s="419">
        <f>G242</f>
        <v>41640.5</v>
      </c>
      <c r="H247" s="419">
        <f t="shared" si="60"/>
        <v>990107</v>
      </c>
      <c r="I247" s="419">
        <f t="shared" si="60"/>
        <v>716304</v>
      </c>
      <c r="J247" s="419">
        <f t="shared" si="60"/>
        <v>17491</v>
      </c>
      <c r="K247" s="419">
        <f>K242</f>
        <v>545954.3501974341</v>
      </c>
      <c r="L247" s="419">
        <f t="shared" si="60"/>
        <v>21227.94444444444</v>
      </c>
      <c r="M247" s="404">
        <f>SUM(E247:L247)</f>
        <v>2437187.7946418785</v>
      </c>
      <c r="N247" s="55"/>
      <c r="O247" s="415"/>
      <c r="P247" s="415"/>
      <c r="Q247" s="55"/>
      <c r="R247" s="415"/>
      <c r="S247" s="415"/>
      <c r="T247" s="55"/>
      <c r="U247" s="415"/>
      <c r="V247" s="415"/>
      <c r="W247" s="415"/>
      <c r="X247" s="415"/>
    </row>
    <row r="248" spans="2:24" ht="12.75" outlineLevel="1">
      <c r="B248" s="447" t="s">
        <v>265</v>
      </c>
      <c r="C248" s="472"/>
      <c r="D248" s="472"/>
      <c r="E248" s="419">
        <f>E238+E233+E228+E222</f>
        <v>51069</v>
      </c>
      <c r="F248" s="419">
        <f aca="true" t="shared" si="61" ref="F248:L248">F238+F233+F228+F222</f>
        <v>196414.40583333332</v>
      </c>
      <c r="G248" s="419">
        <f>G238+G233+G228+G222</f>
        <v>100119.61552415056</v>
      </c>
      <c r="H248" s="419">
        <f t="shared" si="61"/>
        <v>2498608</v>
      </c>
      <c r="I248" s="419">
        <f t="shared" si="61"/>
        <v>2763327.5287290732</v>
      </c>
      <c r="J248" s="419">
        <f t="shared" si="61"/>
        <v>30495.5</v>
      </c>
      <c r="K248" s="419">
        <f>K238+K233+K228+K222</f>
        <v>1958298.7900000005</v>
      </c>
      <c r="L248" s="419">
        <f t="shared" si="61"/>
        <v>50376.16666666667</v>
      </c>
      <c r="M248" s="404">
        <f>SUM(E248:L248)</f>
        <v>7648709.006753224</v>
      </c>
      <c r="N248" s="55"/>
      <c r="O248" s="415"/>
      <c r="P248" s="415"/>
      <c r="Q248" s="55"/>
      <c r="R248" s="415"/>
      <c r="S248" s="415"/>
      <c r="T248" s="55"/>
      <c r="U248" s="415"/>
      <c r="V248" s="415"/>
      <c r="W248" s="415"/>
      <c r="X248" s="415"/>
    </row>
    <row r="249" spans="2:24" ht="12.75" outlineLevel="1">
      <c r="B249" s="447"/>
      <c r="C249" s="472"/>
      <c r="D249" s="472"/>
      <c r="E249" s="55"/>
      <c r="F249" s="55"/>
      <c r="G249" s="50"/>
      <c r="H249" s="50"/>
      <c r="I249" s="55"/>
      <c r="J249" s="55"/>
      <c r="K249" s="50"/>
      <c r="L249" s="50"/>
      <c r="M249" s="48"/>
      <c r="N249" s="48"/>
      <c r="O249" s="412"/>
      <c r="P249" s="412"/>
      <c r="Q249" s="48"/>
      <c r="R249" s="412"/>
      <c r="S249" s="412"/>
      <c r="T249" s="48"/>
      <c r="U249" s="412"/>
      <c r="V249" s="412"/>
      <c r="W249" s="412"/>
      <c r="X249" s="412"/>
    </row>
    <row r="250" spans="2:24" ht="12.75" outlineLevel="1">
      <c r="B250" s="448" t="s">
        <v>266</v>
      </c>
      <c r="C250" s="471"/>
      <c r="D250" s="471"/>
      <c r="E250" s="55"/>
      <c r="F250" s="55"/>
      <c r="G250" s="50"/>
      <c r="H250" s="50"/>
      <c r="I250" s="55"/>
      <c r="J250" s="55"/>
      <c r="K250" s="50"/>
      <c r="L250" s="50"/>
      <c r="M250" s="48"/>
      <c r="N250" s="48"/>
      <c r="O250" s="412"/>
      <c r="P250" s="412"/>
      <c r="Q250" s="48"/>
      <c r="R250" s="412"/>
      <c r="S250" s="412"/>
      <c r="T250" s="48"/>
      <c r="U250" s="412"/>
      <c r="V250" s="412"/>
      <c r="W250" s="412"/>
      <c r="X250" s="412"/>
    </row>
    <row r="251" spans="2:24" ht="12.75" outlineLevel="1">
      <c r="B251" s="447" t="s">
        <v>267</v>
      </c>
      <c r="C251" s="472"/>
      <c r="D251" s="472"/>
      <c r="E251" s="419">
        <f>E$7*E242</f>
        <v>21663</v>
      </c>
      <c r="F251" s="419">
        <f aca="true" t="shared" si="62" ref="F251:L251">F$7*F242</f>
        <v>82800</v>
      </c>
      <c r="G251" s="419">
        <f>G$7*G242</f>
        <v>41640.5</v>
      </c>
      <c r="H251" s="419">
        <f t="shared" si="62"/>
        <v>990107</v>
      </c>
      <c r="I251" s="419">
        <f t="shared" si="62"/>
        <v>716304</v>
      </c>
      <c r="J251" s="419">
        <f t="shared" si="62"/>
        <v>17491</v>
      </c>
      <c r="K251" s="419">
        <f>K$7*K242</f>
        <v>545954.3501974341</v>
      </c>
      <c r="L251" s="419">
        <f t="shared" si="62"/>
        <v>21227.94444444444</v>
      </c>
      <c r="M251" s="404">
        <f aca="true" t="shared" si="63" ref="M251:M256">SUM(E251:L251)</f>
        <v>2437187.7946418785</v>
      </c>
      <c r="N251" s="55"/>
      <c r="O251" s="415"/>
      <c r="P251" s="415"/>
      <c r="Q251" s="55"/>
      <c r="R251" s="415"/>
      <c r="S251" s="415"/>
      <c r="T251" s="55"/>
      <c r="U251" s="415"/>
      <c r="V251" s="415"/>
      <c r="W251" s="415"/>
      <c r="X251" s="415"/>
    </row>
    <row r="252" spans="2:24" ht="12.75" outlineLevel="1">
      <c r="B252" s="447" t="s">
        <v>268</v>
      </c>
      <c r="C252" s="472"/>
      <c r="D252" s="472"/>
      <c r="E252" s="419">
        <f>E$8*(E238+E233)</f>
        <v>49498</v>
      </c>
      <c r="F252" s="419">
        <f aca="true" t="shared" si="64" ref="F252:L252">F$8*(F238+F233)</f>
        <v>188407.60583333333</v>
      </c>
      <c r="G252" s="419">
        <f>G$8*(G238+G233)</f>
        <v>96975.3541323885</v>
      </c>
      <c r="H252" s="419">
        <f t="shared" si="64"/>
        <v>2382091</v>
      </c>
      <c r="I252" s="419">
        <f t="shared" si="64"/>
        <v>2650270.129604263</v>
      </c>
      <c r="J252" s="419">
        <f t="shared" si="64"/>
        <v>29378.5</v>
      </c>
      <c r="K252" s="419">
        <f>K$8*(K238+K233)</f>
        <v>1884777.637777778</v>
      </c>
      <c r="L252" s="419">
        <f t="shared" si="64"/>
        <v>46092.992777777785</v>
      </c>
      <c r="M252" s="404">
        <f t="shared" si="63"/>
        <v>7327491.220125541</v>
      </c>
      <c r="N252" s="55"/>
      <c r="O252" s="415"/>
      <c r="P252" s="415"/>
      <c r="Q252" s="55"/>
      <c r="R252" s="415"/>
      <c r="S252" s="415"/>
      <c r="T252" s="55"/>
      <c r="U252" s="415"/>
      <c r="V252" s="415"/>
      <c r="W252" s="415"/>
      <c r="X252" s="415"/>
    </row>
    <row r="253" spans="2:24" ht="12.75" outlineLevel="1">
      <c r="B253" s="447" t="s">
        <v>269</v>
      </c>
      <c r="C253" s="472"/>
      <c r="D253" s="472"/>
      <c r="E253" s="419">
        <f>E$9*(E228+E222)</f>
        <v>838.5337579617834</v>
      </c>
      <c r="F253" s="419">
        <f aca="true" t="shared" si="65" ref="F253:L253">F$9*(F228+F222)</f>
        <v>3955.48524655089</v>
      </c>
      <c r="G253" s="419">
        <f>G$9*(G228+G222)</f>
        <v>1220.352816096766</v>
      </c>
      <c r="H253" s="419">
        <f t="shared" si="65"/>
        <v>58867.74969672853</v>
      </c>
      <c r="I253" s="419">
        <f t="shared" si="65"/>
        <v>53594.65210664871</v>
      </c>
      <c r="J253" s="419">
        <f>J$9*(J228+J222)</f>
        <v>517.2497925311203</v>
      </c>
      <c r="K253" s="419">
        <f>K$9*(K228+K222)</f>
        <v>38979.89685340359</v>
      </c>
      <c r="L253" s="419">
        <f t="shared" si="65"/>
        <v>1726.3504190763838</v>
      </c>
      <c r="M253" s="404">
        <f t="shared" si="63"/>
        <v>159700.27068899779</v>
      </c>
      <c r="N253" s="55"/>
      <c r="O253" s="415"/>
      <c r="P253" s="415"/>
      <c r="Q253" s="55"/>
      <c r="R253" s="415"/>
      <c r="S253" s="415"/>
      <c r="T253" s="55"/>
      <c r="U253" s="415"/>
      <c r="V253" s="415"/>
      <c r="W253" s="415"/>
      <c r="X253" s="415"/>
    </row>
    <row r="254" spans="2:24" ht="12.75" outlineLevel="1">
      <c r="B254" s="447" t="s">
        <v>270</v>
      </c>
      <c r="C254" s="472"/>
      <c r="D254" s="472"/>
      <c r="E254" s="419">
        <f>E$10*(E228+E222)</f>
        <v>268.1707006369427</v>
      </c>
      <c r="F254" s="419">
        <f aca="true" t="shared" si="66" ref="F254:L254">F$10*(F228+F222)</f>
        <v>1775.147619174347</v>
      </c>
      <c r="G254" s="419">
        <f>G$10*(G228+G222)</f>
        <v>637.3489953150511</v>
      </c>
      <c r="H254" s="419">
        <f t="shared" si="66"/>
        <v>23054.040842163988</v>
      </c>
      <c r="I254" s="419">
        <f t="shared" si="66"/>
        <v>21904.89120257733</v>
      </c>
      <c r="J254" s="419">
        <f t="shared" si="66"/>
        <v>262.43577685569386</v>
      </c>
      <c r="K254" s="419">
        <f>K$10*(K228+K222)</f>
        <v>12488.797753080982</v>
      </c>
      <c r="L254" s="419">
        <f t="shared" si="66"/>
        <v>1015.1162194267381</v>
      </c>
      <c r="M254" s="404">
        <f t="shared" si="63"/>
        <v>61405.94910923107</v>
      </c>
      <c r="N254" s="55"/>
      <c r="O254" s="415"/>
      <c r="P254" s="415"/>
      <c r="Q254" s="55"/>
      <c r="R254" s="415"/>
      <c r="S254" s="415"/>
      <c r="T254" s="55"/>
      <c r="U254" s="415"/>
      <c r="V254" s="415"/>
      <c r="W254" s="415"/>
      <c r="X254" s="415"/>
    </row>
    <row r="255" spans="2:24" ht="12.75" outlineLevel="1">
      <c r="B255" s="447" t="s">
        <v>271</v>
      </c>
      <c r="C255" s="472"/>
      <c r="D255" s="472"/>
      <c r="E255" s="419">
        <f>E$11*(E228+E222)</f>
        <v>240.15286624203821</v>
      </c>
      <c r="F255" s="419">
        <f aca="true" t="shared" si="67" ref="F255:L255">F$11*(F228+F222)</f>
        <v>1253.228482074492</v>
      </c>
      <c r="G255" s="419">
        <f>G$11*(G228+G222)</f>
        <v>1175.6620851767966</v>
      </c>
      <c r="H255" s="419">
        <f t="shared" si="67"/>
        <v>21019.829767991425</v>
      </c>
      <c r="I255" s="419">
        <f t="shared" si="67"/>
        <v>21681.297062893107</v>
      </c>
      <c r="J255" s="419">
        <f t="shared" si="67"/>
        <v>204.65458736745043</v>
      </c>
      <c r="K255" s="419">
        <f>K$11*(K228+K222)</f>
        <v>14692.578109441381</v>
      </c>
      <c r="L255" s="419">
        <f t="shared" si="67"/>
        <v>854.3561456679139</v>
      </c>
      <c r="M255" s="404">
        <f t="shared" si="63"/>
        <v>61121.7591068546</v>
      </c>
      <c r="N255" s="55"/>
      <c r="O255" s="415"/>
      <c r="P255" s="415"/>
      <c r="Q255" s="55"/>
      <c r="R255" s="415"/>
      <c r="S255" s="415"/>
      <c r="T255" s="55"/>
      <c r="U255" s="415"/>
      <c r="V255" s="415"/>
      <c r="W255" s="415"/>
      <c r="X255" s="415"/>
    </row>
    <row r="256" spans="2:24" ht="12.75" outlineLevel="1">
      <c r="B256" s="447" t="s">
        <v>272</v>
      </c>
      <c r="C256" s="472"/>
      <c r="D256" s="472"/>
      <c r="E256" s="419">
        <f>E$12*(E228+E222)</f>
        <v>224.14267515923567</v>
      </c>
      <c r="F256" s="419">
        <f aca="true" t="shared" si="68" ref="F256:L256">F$12*(F228+F222)</f>
        <v>1022.8516791582425</v>
      </c>
      <c r="G256" s="419">
        <f>G$12*(G228+G222)</f>
        <v>110.89749517344836</v>
      </c>
      <c r="H256" s="419">
        <f t="shared" si="68"/>
        <v>13575.460432820015</v>
      </c>
      <c r="I256" s="419">
        <f t="shared" si="68"/>
        <v>15876.558752690587</v>
      </c>
      <c r="J256" s="419">
        <f>J$12*(J228+J222)</f>
        <v>132.65984324573537</v>
      </c>
      <c r="K256" s="419">
        <f>K$12*(K228+K222)</f>
        <v>7360.115861975848</v>
      </c>
      <c r="L256" s="419">
        <f t="shared" si="68"/>
        <v>687.3511047178533</v>
      </c>
      <c r="M256" s="404">
        <f t="shared" si="63"/>
        <v>38990.03784494097</v>
      </c>
      <c r="N256" s="55"/>
      <c r="O256" s="415"/>
      <c r="P256" s="415"/>
      <c r="Q256" s="55"/>
      <c r="R256" s="415"/>
      <c r="S256" s="415"/>
      <c r="T256" s="55"/>
      <c r="U256" s="415"/>
      <c r="V256" s="415"/>
      <c r="W256" s="415"/>
      <c r="X256" s="415"/>
    </row>
    <row r="257" spans="2:24" ht="12.75" outlineLevel="1">
      <c r="B257" s="447" t="s">
        <v>275</v>
      </c>
      <c r="C257" s="447"/>
      <c r="D257" s="447"/>
      <c r="E257" s="55"/>
      <c r="F257" s="55"/>
      <c r="G257" s="50"/>
      <c r="H257" s="50"/>
      <c r="I257" s="55"/>
      <c r="J257" s="55"/>
      <c r="K257" s="50"/>
      <c r="L257" s="50"/>
      <c r="M257" s="48"/>
      <c r="N257" s="48"/>
      <c r="O257" s="412"/>
      <c r="P257" s="412"/>
      <c r="Q257" s="48"/>
      <c r="R257" s="412"/>
      <c r="S257" s="412"/>
      <c r="T257" s="48"/>
      <c r="U257" s="412"/>
      <c r="V257" s="412"/>
      <c r="W257" s="412"/>
      <c r="X257" s="412"/>
    </row>
    <row r="258" spans="2:24" ht="12.75" outlineLevel="1">
      <c r="B258" s="448" t="s">
        <v>252</v>
      </c>
      <c r="C258" s="448"/>
      <c r="D258" s="448"/>
      <c r="E258" s="55"/>
      <c r="F258" s="55"/>
      <c r="G258" s="50"/>
      <c r="H258" s="50"/>
      <c r="I258" s="55"/>
      <c r="J258" s="55"/>
      <c r="K258" s="50"/>
      <c r="L258" s="50"/>
      <c r="M258" s="48"/>
      <c r="N258" s="48"/>
      <c r="O258" s="412"/>
      <c r="P258" s="412"/>
      <c r="Q258" s="48"/>
      <c r="R258" s="412"/>
      <c r="S258" s="412"/>
      <c r="T258" s="48"/>
      <c r="U258" s="412"/>
      <c r="V258" s="412"/>
      <c r="W258" s="412"/>
      <c r="X258" s="412"/>
    </row>
    <row r="259" spans="2:24" ht="12.75" outlineLevel="1">
      <c r="B259" s="447" t="s">
        <v>275</v>
      </c>
      <c r="C259" s="447"/>
      <c r="D259" s="447"/>
      <c r="E259" s="52"/>
      <c r="F259" s="52"/>
      <c r="G259" s="50"/>
      <c r="H259" s="50"/>
      <c r="I259" s="55"/>
      <c r="J259" s="55"/>
      <c r="K259" s="50"/>
      <c r="L259" s="50"/>
      <c r="M259" s="48"/>
      <c r="N259" s="48"/>
      <c r="O259" s="412"/>
      <c r="P259" s="412"/>
      <c r="Q259" s="48"/>
      <c r="R259" s="412"/>
      <c r="S259" s="412"/>
      <c r="T259" s="48"/>
      <c r="U259" s="412"/>
      <c r="V259" s="412"/>
      <c r="W259" s="412"/>
      <c r="X259" s="412"/>
    </row>
    <row r="260" spans="2:24" ht="12.75" outlineLevel="1">
      <c r="B260" s="446" t="s">
        <v>404</v>
      </c>
      <c r="C260" s="446"/>
      <c r="D260" s="446"/>
      <c r="E260" s="276">
        <f>PAV!E156</f>
        <v>21663</v>
      </c>
      <c r="F260" s="276">
        <f>PAV!J156</f>
        <v>82800</v>
      </c>
      <c r="G260" s="276">
        <f>PAV!AD156</f>
        <v>41640.5</v>
      </c>
      <c r="H260" s="404">
        <f aca="true" t="shared" si="69" ref="H260:H267">O260+P260</f>
        <v>912136</v>
      </c>
      <c r="I260" s="276">
        <f>R260+S260</f>
        <v>716357.5</v>
      </c>
      <c r="J260" s="276">
        <f>PAV!AS156</f>
        <v>17491</v>
      </c>
      <c r="K260" s="276">
        <f>PAV!O156</f>
        <v>640309.9159061172</v>
      </c>
      <c r="L260" s="276">
        <f>PAV!AX156</f>
        <v>21230.09222484012</v>
      </c>
      <c r="M260" s="404">
        <f aca="true" t="shared" si="70" ref="M260:M267">SUM(E260:L260)</f>
        <v>2453628.0081309574</v>
      </c>
      <c r="N260" s="57"/>
      <c r="O260" s="559">
        <f>PAV!Y156</f>
        <v>912136</v>
      </c>
      <c r="P260" s="559">
        <f>PAV!T156</f>
        <v>0</v>
      </c>
      <c r="Q260" s="57"/>
      <c r="R260" s="559">
        <f>PAV!AI156</f>
        <v>716357.5</v>
      </c>
      <c r="S260" s="416"/>
      <c r="T260" s="57"/>
      <c r="U260" s="560">
        <f>PAV!O156</f>
        <v>640309.9159061172</v>
      </c>
      <c r="V260" s="415"/>
      <c r="W260" s="415"/>
      <c r="X260" s="560">
        <f>PAV!AN156</f>
        <v>8364.873661670234</v>
      </c>
    </row>
    <row r="261" spans="2:24" ht="12.75" outlineLevel="1">
      <c r="B261" s="446" t="s">
        <v>405</v>
      </c>
      <c r="C261" s="446"/>
      <c r="D261" s="446"/>
      <c r="E261" s="276">
        <f>PAV!E157</f>
        <v>49498</v>
      </c>
      <c r="F261" s="276">
        <f>PAV!J157</f>
        <v>188407.60583333333</v>
      </c>
      <c r="G261" s="276">
        <f>PAV!AD157</f>
        <v>96727.72519022964</v>
      </c>
      <c r="H261" s="404">
        <f t="shared" si="69"/>
        <v>2402342</v>
      </c>
      <c r="I261" s="276">
        <f aca="true" t="shared" si="71" ref="I261:I267">R261+S261</f>
        <v>2646051.5</v>
      </c>
      <c r="J261" s="276">
        <f>PAV!AS157</f>
        <v>29378.5</v>
      </c>
      <c r="K261" s="276">
        <f>PAV!O157</f>
        <v>1842085.481403543</v>
      </c>
      <c r="L261" s="276">
        <f>PAV!AX157</f>
        <v>44278.04403599463</v>
      </c>
      <c r="M261" s="404">
        <f t="shared" si="70"/>
        <v>7298768.8564631</v>
      </c>
      <c r="N261" s="57"/>
      <c r="O261" s="559">
        <f>PAV!Y157</f>
        <v>2402342</v>
      </c>
      <c r="P261" s="559">
        <f>PAV!T157</f>
        <v>0</v>
      </c>
      <c r="Q261" s="57"/>
      <c r="R261" s="559">
        <f>PAV!AI157</f>
        <v>2646051.5</v>
      </c>
      <c r="S261" s="416"/>
      <c r="T261" s="57"/>
      <c r="U261" s="560">
        <f>PAV!O157</f>
        <v>1842085.481403543</v>
      </c>
      <c r="V261" s="415"/>
      <c r="W261" s="415"/>
      <c r="X261" s="560">
        <f>PAV!AN157</f>
        <v>35347.52542372882</v>
      </c>
    </row>
    <row r="262" spans="2:24" ht="12.75" outlineLevel="1">
      <c r="B262" s="446" t="s">
        <v>406</v>
      </c>
      <c r="C262" s="446"/>
      <c r="D262" s="446"/>
      <c r="E262" s="276">
        <f>PAV!E158</f>
        <v>1571</v>
      </c>
      <c r="F262" s="276">
        <f>PAV!J158</f>
        <v>8006.8</v>
      </c>
      <c r="G262" s="276">
        <f>PAV!AD158</f>
        <v>3120.0760476228243</v>
      </c>
      <c r="H262" s="404">
        <f t="shared" si="69"/>
        <v>65356</v>
      </c>
      <c r="I262" s="276">
        <f t="shared" si="71"/>
        <v>113832</v>
      </c>
      <c r="J262" s="276">
        <f>PAV!AS158</f>
        <v>1117</v>
      </c>
      <c r="K262" s="276">
        <f>PAV!O158</f>
        <v>80468.7245062765</v>
      </c>
      <c r="L262" s="276">
        <f>PAV!AX158</f>
        <v>4386.882189197968</v>
      </c>
      <c r="M262" s="404">
        <f t="shared" si="70"/>
        <v>277858.4827430973</v>
      </c>
      <c r="N262" s="57"/>
      <c r="O262" s="559">
        <f>PAV!Y158</f>
        <v>65356</v>
      </c>
      <c r="P262" s="559">
        <f>PAV!T158</f>
        <v>0</v>
      </c>
      <c r="Q262" s="57"/>
      <c r="R262" s="559">
        <f>PAV!AI158</f>
        <v>113832</v>
      </c>
      <c r="S262" s="416"/>
      <c r="T262" s="57"/>
      <c r="U262" s="560">
        <f>PAV!O158</f>
        <v>80468.7245062765</v>
      </c>
      <c r="V262" s="415"/>
      <c r="W262" s="415"/>
      <c r="X262" s="560">
        <f>PAV!AN158</f>
        <v>1874.4406779661024</v>
      </c>
    </row>
    <row r="263" spans="2:24" ht="12.75" outlineLevel="1">
      <c r="B263" s="446" t="s">
        <v>394</v>
      </c>
      <c r="C263" s="446"/>
      <c r="D263" s="446"/>
      <c r="E263" s="276">
        <f>PAV!E159</f>
        <v>495</v>
      </c>
      <c r="F263" s="276">
        <f>PAV!J159</f>
        <v>1737.1666666666665</v>
      </c>
      <c r="G263" s="276">
        <f>PAV!AD159</f>
        <v>748.458629044287</v>
      </c>
      <c r="H263" s="404">
        <f t="shared" si="69"/>
        <v>32720</v>
      </c>
      <c r="I263" s="276">
        <f t="shared" si="71"/>
        <v>14162</v>
      </c>
      <c r="J263" s="276">
        <f>PAV!AS159</f>
        <v>227.46666666666664</v>
      </c>
      <c r="K263" s="276">
        <f>PAV!O159</f>
        <v>10253.915385310629</v>
      </c>
      <c r="L263" s="276">
        <f>PAV!AX159</f>
        <v>999.943025884071</v>
      </c>
      <c r="M263" s="404">
        <f t="shared" si="70"/>
        <v>61343.95037357233</v>
      </c>
      <c r="N263" s="57"/>
      <c r="O263" s="559">
        <f>PAV!Y159</f>
        <v>32720</v>
      </c>
      <c r="P263" s="559">
        <f>PAV!T159</f>
        <v>0</v>
      </c>
      <c r="Q263" s="57"/>
      <c r="R263" s="559">
        <f>PAV!AI159</f>
        <v>14162</v>
      </c>
      <c r="S263" s="416"/>
      <c r="T263" s="57"/>
      <c r="U263" s="560">
        <f>PAV!O159</f>
        <v>10253.915385310629</v>
      </c>
      <c r="V263" s="415"/>
      <c r="W263" s="415"/>
      <c r="X263" s="560">
        <f>PAV!AN159</f>
        <v>0</v>
      </c>
    </row>
    <row r="264" spans="2:24" ht="12.75" outlineLevel="1">
      <c r="B264" s="446" t="s">
        <v>397</v>
      </c>
      <c r="C264" s="446"/>
      <c r="D264" s="446"/>
      <c r="E264" s="276">
        <f>PAV!E160</f>
        <v>31</v>
      </c>
      <c r="F264" s="276">
        <f>PAV!J160</f>
        <v>320.3333333333333</v>
      </c>
      <c r="G264" s="276">
        <f>PAV!AD160</f>
        <v>586.4032998067258</v>
      </c>
      <c r="H264" s="404">
        <f t="shared" si="69"/>
        <v>9046</v>
      </c>
      <c r="I264" s="276">
        <f t="shared" si="71"/>
        <v>11884.5</v>
      </c>
      <c r="J264" s="276">
        <f>PAV!AS160</f>
        <v>20</v>
      </c>
      <c r="K264" s="276">
        <f>PAV!O160</f>
        <v>3621.899007905227</v>
      </c>
      <c r="L264" s="276">
        <f>PAV!AX160</f>
        <v>373.74143044186843</v>
      </c>
      <c r="M264" s="404">
        <f t="shared" si="70"/>
        <v>25883.877071487153</v>
      </c>
      <c r="N264" s="57"/>
      <c r="O264" s="559">
        <f>PAV!Y160</f>
        <v>9046</v>
      </c>
      <c r="P264" s="559">
        <f>PAV!T160</f>
        <v>0</v>
      </c>
      <c r="Q264" s="57"/>
      <c r="R264" s="559">
        <f>PAV!AI160</f>
        <v>11884.5</v>
      </c>
      <c r="S264" s="416"/>
      <c r="T264" s="57"/>
      <c r="U264" s="560">
        <f>PAV!O160</f>
        <v>3621.899007905227</v>
      </c>
      <c r="V264" s="415"/>
      <c r="W264" s="415"/>
      <c r="X264" s="560">
        <f>PAV!AN160</f>
        <v>0</v>
      </c>
    </row>
    <row r="265" spans="2:24" ht="12.75" outlineLevel="1">
      <c r="B265" s="446" t="s">
        <v>400</v>
      </c>
      <c r="C265" s="446"/>
      <c r="D265" s="446"/>
      <c r="E265" s="276">
        <f>PAV!E161</f>
        <v>0</v>
      </c>
      <c r="F265" s="276">
        <f>PAV!J161</f>
        <v>43.33333333333333</v>
      </c>
      <c r="G265" s="276">
        <f>PAV!AD161</f>
        <v>4.686358924402846</v>
      </c>
      <c r="H265" s="404">
        <f t="shared" si="69"/>
        <v>233</v>
      </c>
      <c r="I265" s="276">
        <f t="shared" si="71"/>
        <v>178.5</v>
      </c>
      <c r="J265" s="276">
        <f>PAV!AS161</f>
        <v>0</v>
      </c>
      <c r="K265" s="276">
        <f>PAV!O161</f>
        <v>133.86693907825543</v>
      </c>
      <c r="L265" s="276">
        <f>PAV!AX161</f>
        <v>17.442821855633813</v>
      </c>
      <c r="M265" s="404">
        <f t="shared" si="70"/>
        <v>610.8294531916254</v>
      </c>
      <c r="N265" s="57"/>
      <c r="O265" s="559">
        <f>PAV!Y161</f>
        <v>233</v>
      </c>
      <c r="P265" s="559">
        <f>PAV!T161</f>
        <v>0</v>
      </c>
      <c r="Q265" s="57"/>
      <c r="R265" s="559">
        <f>PAV!AI161</f>
        <v>178.5</v>
      </c>
      <c r="S265" s="416"/>
      <c r="T265" s="57"/>
      <c r="U265" s="560">
        <f>PAV!O161</f>
        <v>133.86693907825543</v>
      </c>
      <c r="V265" s="415"/>
      <c r="W265" s="415"/>
      <c r="X265" s="560">
        <f>PAV!AN161</f>
        <v>860.5446206541565</v>
      </c>
    </row>
    <row r="266" spans="2:24" s="45" customFormat="1" ht="12.75" outlineLevel="1">
      <c r="B266" s="447"/>
      <c r="C266" s="447"/>
      <c r="D266" s="447"/>
      <c r="E266" s="48"/>
      <c r="F266" s="48"/>
      <c r="G266" s="48"/>
      <c r="H266" s="48"/>
      <c r="I266" s="48"/>
      <c r="J266" s="48"/>
      <c r="K266" s="48"/>
      <c r="L266" s="48"/>
      <c r="M266" s="57"/>
      <c r="N266" s="48"/>
      <c r="O266" s="416"/>
      <c r="P266" s="416"/>
      <c r="Q266" s="48"/>
      <c r="R266" s="412"/>
      <c r="S266" s="412"/>
      <c r="T266" s="48"/>
      <c r="U266" s="412"/>
      <c r="V266" s="412"/>
      <c r="W266" s="412"/>
      <c r="X266" s="412"/>
    </row>
    <row r="267" spans="2:24" ht="12.75" outlineLevel="1">
      <c r="B267" s="447" t="s">
        <v>255</v>
      </c>
      <c r="C267" s="447"/>
      <c r="D267" s="447"/>
      <c r="E267" s="276">
        <f>PAV!B238</f>
        <v>0</v>
      </c>
      <c r="F267" s="276">
        <f>PAV!C238</f>
        <v>104124</v>
      </c>
      <c r="G267" s="276">
        <f>PAV!D238</f>
        <v>1932.3973414864056</v>
      </c>
      <c r="H267" s="404">
        <f t="shared" si="69"/>
        <v>0</v>
      </c>
      <c r="I267" s="276">
        <f t="shared" si="71"/>
        <v>648701.865</v>
      </c>
      <c r="J267" s="276">
        <f>PAV!G238</f>
        <v>5615</v>
      </c>
      <c r="K267" s="276">
        <f>PAV!H238</f>
        <v>215750.65627356584</v>
      </c>
      <c r="L267" s="276">
        <f>PAV!I238</f>
        <v>2302.2927050294516</v>
      </c>
      <c r="M267" s="404">
        <f t="shared" si="70"/>
        <v>978426.2113200817</v>
      </c>
      <c r="N267" s="57"/>
      <c r="O267" s="559">
        <f>PAV!E238</f>
        <v>0</v>
      </c>
      <c r="P267" s="416"/>
      <c r="Q267" s="57"/>
      <c r="R267" s="559">
        <f>PAV!F238</f>
        <v>648701.865</v>
      </c>
      <c r="S267" s="416"/>
      <c r="T267" s="57"/>
      <c r="U267" s="560">
        <f>PAV!H238</f>
        <v>215750.65627356584</v>
      </c>
      <c r="V267" s="415"/>
      <c r="W267" s="415"/>
      <c r="X267" s="560">
        <f>PAV!M238</f>
        <v>0</v>
      </c>
    </row>
    <row r="268" spans="2:24" ht="12.75" outlineLevel="1">
      <c r="B268" s="447" t="s">
        <v>275</v>
      </c>
      <c r="C268" s="447"/>
      <c r="D268" s="44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416"/>
      <c r="P268" s="416"/>
      <c r="Q268" s="57"/>
      <c r="R268" s="416"/>
      <c r="S268" s="416"/>
      <c r="T268" s="57"/>
      <c r="U268" s="416"/>
      <c r="V268" s="416"/>
      <c r="W268" s="416"/>
      <c r="X268" s="416"/>
    </row>
    <row r="269" spans="2:24" ht="12.75">
      <c r="B269" s="447"/>
      <c r="C269" s="447"/>
      <c r="D269" s="447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489"/>
      <c r="P269" s="489"/>
      <c r="Q269" s="71"/>
      <c r="R269" s="489"/>
      <c r="S269" s="489"/>
      <c r="T269" s="71"/>
      <c r="U269" s="489"/>
      <c r="V269" s="489"/>
      <c r="W269" s="489"/>
      <c r="X269" s="489"/>
    </row>
    <row r="270" spans="2:24" s="42" customFormat="1" ht="12.75">
      <c r="B270" s="83">
        <v>2008</v>
      </c>
      <c r="C270" s="83"/>
      <c r="D270" s="83"/>
      <c r="E270" s="485"/>
      <c r="F270" s="485"/>
      <c r="G270" s="485"/>
      <c r="H270" s="485"/>
      <c r="I270" s="485"/>
      <c r="J270" s="485"/>
      <c r="K270" s="485"/>
      <c r="L270" s="485"/>
      <c r="M270" s="485"/>
      <c r="N270" s="485"/>
      <c r="O270" s="486"/>
      <c r="P270" s="486"/>
      <c r="Q270" s="485"/>
      <c r="R270" s="486"/>
      <c r="S270" s="486"/>
      <c r="T270" s="485"/>
      <c r="U270" s="486"/>
      <c r="V270" s="486"/>
      <c r="W270" s="486"/>
      <c r="X270" s="486"/>
    </row>
    <row r="271" spans="5:24" ht="12.75"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12"/>
      <c r="P271" s="412"/>
      <c r="Q271" s="48"/>
      <c r="R271" s="412"/>
      <c r="S271" s="412"/>
      <c r="T271" s="48"/>
      <c r="U271" s="412"/>
      <c r="V271" s="412"/>
      <c r="W271" s="412"/>
      <c r="X271" s="412"/>
    </row>
    <row r="272" spans="2:24" ht="12.75" outlineLevel="1">
      <c r="B272" s="448" t="s">
        <v>229</v>
      </c>
      <c r="C272" s="447"/>
      <c r="D272" s="447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487"/>
      <c r="P272" s="487"/>
      <c r="Q272" s="70"/>
      <c r="R272" s="487"/>
      <c r="S272" s="487"/>
      <c r="T272" s="70"/>
      <c r="U272" s="487"/>
      <c r="V272" s="487"/>
      <c r="W272" s="487"/>
      <c r="X272" s="487"/>
    </row>
    <row r="273" spans="2:24" ht="12.75" outlineLevel="1">
      <c r="B273" s="447" t="s">
        <v>230</v>
      </c>
      <c r="C273" s="447"/>
      <c r="D273" s="447"/>
      <c r="E273" s="46">
        <v>0</v>
      </c>
      <c r="F273" s="46">
        <v>0</v>
      </c>
      <c r="G273" s="47">
        <v>0</v>
      </c>
      <c r="H273" s="47">
        <v>0</v>
      </c>
      <c r="I273" s="46">
        <v>7</v>
      </c>
      <c r="J273" s="46">
        <v>0</v>
      </c>
      <c r="K273" s="47">
        <v>2</v>
      </c>
      <c r="L273" s="47">
        <v>0</v>
      </c>
      <c r="M273" s="404">
        <f aca="true" t="shared" si="72" ref="M273:M278">SUM(E273:L273)</f>
        <v>9</v>
      </c>
      <c r="N273" s="48"/>
      <c r="O273" s="412"/>
      <c r="P273" s="412"/>
      <c r="Q273" s="48"/>
      <c r="R273" s="412"/>
      <c r="S273" s="412"/>
      <c r="T273" s="48"/>
      <c r="U273" s="412"/>
      <c r="V273" s="412"/>
      <c r="W273" s="412"/>
      <c r="X273" s="412"/>
    </row>
    <row r="274" spans="2:24" ht="12.75" outlineLevel="1">
      <c r="B274" s="472"/>
      <c r="C274" s="472"/>
      <c r="D274" s="472"/>
      <c r="E274" s="101"/>
      <c r="F274" s="101"/>
      <c r="G274" s="50"/>
      <c r="H274" s="50"/>
      <c r="I274" s="101"/>
      <c r="J274" s="101"/>
      <c r="K274" s="50"/>
      <c r="L274" s="50"/>
      <c r="M274" s="48"/>
      <c r="N274" s="48"/>
      <c r="O274" s="412"/>
      <c r="P274" s="412"/>
      <c r="Q274" s="48"/>
      <c r="R274" s="412"/>
      <c r="S274" s="412"/>
      <c r="T274" s="48"/>
      <c r="U274" s="412"/>
      <c r="V274" s="412"/>
      <c r="W274" s="412"/>
      <c r="X274" s="412"/>
    </row>
    <row r="275" spans="2:24" ht="12.75" outlineLevel="1">
      <c r="B275" s="447" t="s">
        <v>231</v>
      </c>
      <c r="C275" s="447"/>
      <c r="D275" s="447"/>
      <c r="E275" s="46">
        <v>0</v>
      </c>
      <c r="F275" s="46">
        <v>0</v>
      </c>
      <c r="G275" s="47">
        <v>0</v>
      </c>
      <c r="H275" s="47">
        <v>0</v>
      </c>
      <c r="I275" s="46">
        <v>5025</v>
      </c>
      <c r="J275" s="46">
        <v>0</v>
      </c>
      <c r="K275" s="47">
        <v>260533.12297734627</v>
      </c>
      <c r="L275" s="47">
        <v>0</v>
      </c>
      <c r="M275" s="404">
        <f t="shared" si="72"/>
        <v>265558.1229773463</v>
      </c>
      <c r="N275" s="48"/>
      <c r="O275" s="412"/>
      <c r="P275" s="412"/>
      <c r="Q275" s="48"/>
      <c r="R275" s="412"/>
      <c r="S275" s="412"/>
      <c r="T275" s="48"/>
      <c r="U275" s="412"/>
      <c r="V275" s="412"/>
      <c r="W275" s="412"/>
      <c r="X275" s="412"/>
    </row>
    <row r="276" spans="2:24" ht="12.75" outlineLevel="1">
      <c r="B276" s="447" t="s">
        <v>232</v>
      </c>
      <c r="C276" s="447"/>
      <c r="D276" s="447"/>
      <c r="E276" s="46">
        <v>0</v>
      </c>
      <c r="F276" s="46">
        <v>0</v>
      </c>
      <c r="G276" s="47">
        <v>0</v>
      </c>
      <c r="H276" s="47">
        <v>0</v>
      </c>
      <c r="I276" s="46">
        <v>34512</v>
      </c>
      <c r="J276" s="46">
        <v>0</v>
      </c>
      <c r="K276" s="47">
        <v>2849970.710526316</v>
      </c>
      <c r="L276" s="47">
        <v>0</v>
      </c>
      <c r="M276" s="404">
        <f t="shared" si="72"/>
        <v>2884482.710526316</v>
      </c>
      <c r="N276" s="48"/>
      <c r="O276" s="412"/>
      <c r="P276" s="412"/>
      <c r="Q276" s="48"/>
      <c r="R276" s="412"/>
      <c r="S276" s="412"/>
      <c r="T276" s="48"/>
      <c r="U276" s="412"/>
      <c r="V276" s="412"/>
      <c r="W276" s="412"/>
      <c r="X276" s="412"/>
    </row>
    <row r="277" spans="2:24" ht="12.75" outlineLevel="1">
      <c r="B277" s="472"/>
      <c r="C277" s="472"/>
      <c r="D277" s="472"/>
      <c r="E277" s="101"/>
      <c r="F277" s="101"/>
      <c r="G277" s="50"/>
      <c r="H277" s="50"/>
      <c r="I277" s="101"/>
      <c r="J277" s="101"/>
      <c r="K277" s="50"/>
      <c r="L277" s="50"/>
      <c r="M277" s="48"/>
      <c r="N277" s="48"/>
      <c r="O277" s="412"/>
      <c r="P277" s="412"/>
      <c r="Q277" s="48"/>
      <c r="R277" s="412"/>
      <c r="S277" s="412"/>
      <c r="T277" s="48"/>
      <c r="U277" s="412"/>
      <c r="V277" s="412"/>
      <c r="W277" s="412"/>
      <c r="X277" s="412"/>
    </row>
    <row r="278" spans="2:24" ht="12.75" outlineLevel="1">
      <c r="B278" s="447" t="s">
        <v>234</v>
      </c>
      <c r="C278" s="447"/>
      <c r="D278" s="447"/>
      <c r="E278" s="46">
        <v>0</v>
      </c>
      <c r="F278" s="46">
        <v>0</v>
      </c>
      <c r="G278" s="47">
        <v>0</v>
      </c>
      <c r="H278" s="47">
        <v>0</v>
      </c>
      <c r="I278" s="46">
        <v>0</v>
      </c>
      <c r="J278" s="46">
        <v>0</v>
      </c>
      <c r="K278" s="47">
        <v>0</v>
      </c>
      <c r="L278" s="47">
        <v>0</v>
      </c>
      <c r="M278" s="404">
        <f t="shared" si="72"/>
        <v>0</v>
      </c>
      <c r="N278" s="48"/>
      <c r="O278" s="412"/>
      <c r="P278" s="412"/>
      <c r="Q278" s="48"/>
      <c r="R278" s="412"/>
      <c r="S278" s="412"/>
      <c r="T278" s="48"/>
      <c r="U278" s="412"/>
      <c r="V278" s="412"/>
      <c r="W278" s="412"/>
      <c r="X278" s="412"/>
    </row>
    <row r="279" spans="2:24" ht="12.75" outlineLevel="1">
      <c r="B279" s="447" t="s">
        <v>275</v>
      </c>
      <c r="C279" s="447"/>
      <c r="D279" s="447"/>
      <c r="E279" s="49"/>
      <c r="F279" s="49"/>
      <c r="G279" s="50"/>
      <c r="H279" s="50"/>
      <c r="I279" s="49"/>
      <c r="J279" s="49"/>
      <c r="K279" s="50"/>
      <c r="L279" s="50"/>
      <c r="M279" s="48"/>
      <c r="N279" s="48"/>
      <c r="O279" s="412"/>
      <c r="P279" s="412"/>
      <c r="Q279" s="48"/>
      <c r="R279" s="412"/>
      <c r="S279" s="412"/>
      <c r="T279" s="48"/>
      <c r="U279" s="412"/>
      <c r="V279" s="412"/>
      <c r="W279" s="412"/>
      <c r="X279" s="412"/>
    </row>
    <row r="280" spans="2:24" ht="12.75" outlineLevel="1">
      <c r="B280" s="448" t="s">
        <v>235</v>
      </c>
      <c r="C280" s="447"/>
      <c r="D280" s="447"/>
      <c r="E280" s="49"/>
      <c r="F280" s="49"/>
      <c r="G280" s="50"/>
      <c r="H280" s="50"/>
      <c r="I280" s="49"/>
      <c r="J280" s="49"/>
      <c r="K280" s="50"/>
      <c r="L280" s="50"/>
      <c r="M280" s="48"/>
      <c r="N280" s="48"/>
      <c r="O280" s="412"/>
      <c r="P280" s="412"/>
      <c r="Q280" s="48"/>
      <c r="R280" s="412"/>
      <c r="S280" s="412"/>
      <c r="T280" s="48"/>
      <c r="U280" s="412"/>
      <c r="V280" s="412"/>
      <c r="W280" s="412"/>
      <c r="X280" s="412"/>
    </row>
    <row r="281" spans="2:24" ht="12.75" outlineLevel="1">
      <c r="B281" s="447" t="s">
        <v>230</v>
      </c>
      <c r="C281" s="447"/>
      <c r="D281" s="447"/>
      <c r="E281" s="51">
        <v>0</v>
      </c>
      <c r="F281" s="51">
        <v>0</v>
      </c>
      <c r="G281" s="47">
        <v>0</v>
      </c>
      <c r="H281" s="47">
        <v>0</v>
      </c>
      <c r="I281" s="51">
        <v>0</v>
      </c>
      <c r="J281" s="51">
        <v>0</v>
      </c>
      <c r="K281" s="47">
        <v>5.81818115942029</v>
      </c>
      <c r="L281" s="47">
        <v>0</v>
      </c>
      <c r="M281" s="404">
        <f aca="true" t="shared" si="73" ref="M281:M286">SUM(E281:L281)</f>
        <v>5.81818115942029</v>
      </c>
      <c r="N281" s="48"/>
      <c r="O281" s="412"/>
      <c r="P281" s="412"/>
      <c r="Q281" s="48"/>
      <c r="R281" s="412"/>
      <c r="S281" s="412"/>
      <c r="T281" s="48"/>
      <c r="U281" s="412"/>
      <c r="V281" s="412"/>
      <c r="W281" s="412"/>
      <c r="X281" s="412"/>
    </row>
    <row r="282" spans="2:24" ht="12.75" outlineLevel="1">
      <c r="B282" s="472"/>
      <c r="C282" s="472"/>
      <c r="D282" s="472"/>
      <c r="E282" s="555"/>
      <c r="F282" s="555"/>
      <c r="G282" s="50"/>
      <c r="H282" s="50"/>
      <c r="I282" s="555"/>
      <c r="J282" s="555"/>
      <c r="K282" s="50"/>
      <c r="L282" s="50"/>
      <c r="M282" s="48"/>
      <c r="N282" s="48"/>
      <c r="O282" s="412"/>
      <c r="P282" s="412"/>
      <c r="Q282" s="48"/>
      <c r="R282" s="412"/>
      <c r="S282" s="412"/>
      <c r="T282" s="48"/>
      <c r="U282" s="412"/>
      <c r="V282" s="412"/>
      <c r="W282" s="412"/>
      <c r="X282" s="412"/>
    </row>
    <row r="283" spans="2:24" ht="12.75" outlineLevel="1">
      <c r="B283" s="447" t="s">
        <v>231</v>
      </c>
      <c r="C283" s="447"/>
      <c r="D283" s="447"/>
      <c r="E283" s="51">
        <v>0</v>
      </c>
      <c r="F283" s="51">
        <v>0</v>
      </c>
      <c r="G283" s="47">
        <v>0</v>
      </c>
      <c r="H283" s="47">
        <v>0</v>
      </c>
      <c r="I283" s="51">
        <v>0</v>
      </c>
      <c r="J283" s="51">
        <v>0</v>
      </c>
      <c r="K283" s="47">
        <v>25462.72653721683</v>
      </c>
      <c r="L283" s="47">
        <v>0</v>
      </c>
      <c r="M283" s="404">
        <f t="shared" si="73"/>
        <v>25462.72653721683</v>
      </c>
      <c r="N283" s="48"/>
      <c r="O283" s="412"/>
      <c r="P283" s="412"/>
      <c r="Q283" s="48"/>
      <c r="R283" s="412"/>
      <c r="S283" s="412"/>
      <c r="T283" s="48"/>
      <c r="U283" s="412"/>
      <c r="V283" s="412"/>
      <c r="W283" s="412"/>
      <c r="X283" s="412"/>
    </row>
    <row r="284" spans="2:24" ht="12.75" outlineLevel="1">
      <c r="B284" s="447" t="s">
        <v>236</v>
      </c>
      <c r="C284" s="447"/>
      <c r="D284" s="447"/>
      <c r="E284" s="51">
        <v>0</v>
      </c>
      <c r="F284" s="51">
        <v>0</v>
      </c>
      <c r="G284" s="47">
        <v>0</v>
      </c>
      <c r="H284" s="47">
        <v>0</v>
      </c>
      <c r="I284" s="51">
        <v>0</v>
      </c>
      <c r="J284" s="51">
        <v>0</v>
      </c>
      <c r="K284" s="47">
        <v>121301.35897435897</v>
      </c>
      <c r="L284" s="47">
        <v>0</v>
      </c>
      <c r="M284" s="404">
        <f t="shared" si="73"/>
        <v>121301.35897435897</v>
      </c>
      <c r="N284" s="48"/>
      <c r="O284" s="412"/>
      <c r="P284" s="412"/>
      <c r="Q284" s="48"/>
      <c r="R284" s="412"/>
      <c r="S284" s="412"/>
      <c r="T284" s="48"/>
      <c r="U284" s="412"/>
      <c r="V284" s="412"/>
      <c r="W284" s="412"/>
      <c r="X284" s="412"/>
    </row>
    <row r="285" spans="2:24" ht="12.75" outlineLevel="1">
      <c r="B285" s="472"/>
      <c r="C285" s="472"/>
      <c r="D285" s="472"/>
      <c r="E285" s="555"/>
      <c r="F285" s="555"/>
      <c r="G285" s="50"/>
      <c r="H285" s="50"/>
      <c r="I285" s="555"/>
      <c r="J285" s="555"/>
      <c r="K285" s="50"/>
      <c r="L285" s="50"/>
      <c r="M285" s="48"/>
      <c r="N285" s="48"/>
      <c r="O285" s="412"/>
      <c r="P285" s="412"/>
      <c r="Q285" s="48"/>
      <c r="R285" s="412"/>
      <c r="S285" s="412"/>
      <c r="T285" s="48"/>
      <c r="U285" s="412"/>
      <c r="V285" s="412"/>
      <c r="W285" s="412"/>
      <c r="X285" s="412"/>
    </row>
    <row r="286" spans="2:24" ht="12.75" outlineLevel="1">
      <c r="B286" s="447" t="s">
        <v>234</v>
      </c>
      <c r="C286" s="447"/>
      <c r="D286" s="447"/>
      <c r="E286" s="51">
        <v>0</v>
      </c>
      <c r="F286" s="51">
        <v>0</v>
      </c>
      <c r="G286" s="47">
        <v>0</v>
      </c>
      <c r="H286" s="47">
        <v>0</v>
      </c>
      <c r="I286" s="51">
        <v>0</v>
      </c>
      <c r="J286" s="51">
        <v>0</v>
      </c>
      <c r="K286" s="47">
        <v>3338843.3333333335</v>
      </c>
      <c r="L286" s="47">
        <v>0</v>
      </c>
      <c r="M286" s="404">
        <f t="shared" si="73"/>
        <v>3338843.3333333335</v>
      </c>
      <c r="N286" s="48"/>
      <c r="O286" s="412"/>
      <c r="P286" s="412"/>
      <c r="Q286" s="48"/>
      <c r="R286" s="412"/>
      <c r="S286" s="412"/>
      <c r="T286" s="48"/>
      <c r="U286" s="412"/>
      <c r="V286" s="412"/>
      <c r="W286" s="412"/>
      <c r="X286" s="412"/>
    </row>
    <row r="287" spans="2:24" ht="12.75" outlineLevel="1">
      <c r="B287" s="447" t="s">
        <v>275</v>
      </c>
      <c r="C287" s="447"/>
      <c r="D287" s="447"/>
      <c r="E287" s="49"/>
      <c r="F287" s="49"/>
      <c r="G287" s="50"/>
      <c r="H287" s="50"/>
      <c r="I287" s="49"/>
      <c r="J287" s="49"/>
      <c r="K287" s="50"/>
      <c r="L287" s="50"/>
      <c r="M287" s="48"/>
      <c r="N287" s="48"/>
      <c r="O287" s="412"/>
      <c r="P287" s="412"/>
      <c r="Q287" s="48"/>
      <c r="R287" s="412"/>
      <c r="S287" s="412"/>
      <c r="T287" s="48"/>
      <c r="U287" s="412"/>
      <c r="V287" s="412"/>
      <c r="W287" s="412"/>
      <c r="X287" s="412"/>
    </row>
    <row r="288" spans="2:24" ht="12.75" outlineLevel="1">
      <c r="B288" s="448" t="s">
        <v>237</v>
      </c>
      <c r="C288" s="447"/>
      <c r="D288" s="447"/>
      <c r="E288" s="49"/>
      <c r="F288" s="49"/>
      <c r="G288" s="50"/>
      <c r="H288" s="50"/>
      <c r="I288" s="49"/>
      <c r="J288" s="49"/>
      <c r="K288" s="50"/>
      <c r="L288" s="50"/>
      <c r="M288" s="48"/>
      <c r="N288" s="48"/>
      <c r="O288" s="412"/>
      <c r="P288" s="412"/>
      <c r="Q288" s="48"/>
      <c r="R288" s="412"/>
      <c r="S288" s="412"/>
      <c r="T288" s="48"/>
      <c r="U288" s="412"/>
      <c r="V288" s="412"/>
      <c r="W288" s="412"/>
      <c r="X288" s="412"/>
    </row>
    <row r="289" spans="2:24" ht="12.75" outlineLevel="1">
      <c r="B289" s="447" t="s">
        <v>230</v>
      </c>
      <c r="C289" s="447"/>
      <c r="D289" s="447"/>
      <c r="E289" s="51">
        <v>0</v>
      </c>
      <c r="F289" s="51">
        <v>1</v>
      </c>
      <c r="G289" s="47">
        <v>0</v>
      </c>
      <c r="H289" s="47">
        <v>0</v>
      </c>
      <c r="I289" s="51">
        <v>17.819020751587015</v>
      </c>
      <c r="J289" s="51">
        <v>0</v>
      </c>
      <c r="K289" s="47">
        <v>64.36294565217392</v>
      </c>
      <c r="L289" s="47">
        <v>0</v>
      </c>
      <c r="M289" s="404">
        <f aca="true" t="shared" si="74" ref="M289:M294">SUM(E289:L289)</f>
        <v>83.18196640376094</v>
      </c>
      <c r="N289" s="48"/>
      <c r="O289" s="412"/>
      <c r="P289" s="412"/>
      <c r="Q289" s="48"/>
      <c r="R289" s="412"/>
      <c r="S289" s="412"/>
      <c r="T289" s="48"/>
      <c r="U289" s="412"/>
      <c r="V289" s="412"/>
      <c r="W289" s="412"/>
      <c r="X289" s="412"/>
    </row>
    <row r="290" spans="2:24" ht="12.75" outlineLevel="1">
      <c r="B290" s="472"/>
      <c r="C290" s="454"/>
      <c r="D290" s="454"/>
      <c r="E290" s="555"/>
      <c r="F290" s="566"/>
      <c r="G290" s="50"/>
      <c r="H290" s="50"/>
      <c r="I290" s="555"/>
      <c r="J290" s="555"/>
      <c r="K290" s="50"/>
      <c r="L290" s="50"/>
      <c r="M290" s="48"/>
      <c r="N290" s="48"/>
      <c r="O290" s="412"/>
      <c r="P290" s="412"/>
      <c r="Q290" s="48"/>
      <c r="R290" s="412"/>
      <c r="S290" s="412"/>
      <c r="T290" s="48"/>
      <c r="U290" s="412"/>
      <c r="V290" s="412"/>
      <c r="W290" s="412"/>
      <c r="X290" s="412"/>
    </row>
    <row r="291" spans="2:24" ht="12.75" outlineLevel="1">
      <c r="B291" s="447" t="s">
        <v>231</v>
      </c>
      <c r="C291" s="447"/>
      <c r="D291" s="447"/>
      <c r="E291" s="51">
        <v>0</v>
      </c>
      <c r="F291" s="51">
        <v>22000</v>
      </c>
      <c r="G291" s="47">
        <v>0</v>
      </c>
      <c r="H291" s="47">
        <v>0</v>
      </c>
      <c r="I291" s="51">
        <v>68986.69569943834</v>
      </c>
      <c r="J291" s="51">
        <v>0</v>
      </c>
      <c r="K291" s="47">
        <v>599903.0410958905</v>
      </c>
      <c r="L291" s="47">
        <v>0</v>
      </c>
      <c r="M291" s="404">
        <f t="shared" si="74"/>
        <v>690889.7367953288</v>
      </c>
      <c r="N291" s="48"/>
      <c r="O291" s="412"/>
      <c r="P291" s="412"/>
      <c r="Q291" s="48"/>
      <c r="R291" s="412"/>
      <c r="S291" s="412"/>
      <c r="T291" s="48"/>
      <c r="U291" s="412"/>
      <c r="V291" s="412"/>
      <c r="W291" s="412"/>
      <c r="X291" s="412"/>
    </row>
    <row r="292" spans="2:24" ht="12.75" outlineLevel="1">
      <c r="B292" s="447" t="s">
        <v>232</v>
      </c>
      <c r="C292" s="447"/>
      <c r="D292" s="447"/>
      <c r="E292" s="51">
        <v>0</v>
      </c>
      <c r="F292" s="51">
        <v>0</v>
      </c>
      <c r="G292" s="47">
        <v>0</v>
      </c>
      <c r="H292" s="47">
        <v>0</v>
      </c>
      <c r="I292" s="51">
        <v>962587.2365013063</v>
      </c>
      <c r="J292" s="51">
        <v>0</v>
      </c>
      <c r="K292" s="47">
        <v>4989626.717948718</v>
      </c>
      <c r="L292" s="47">
        <v>0</v>
      </c>
      <c r="M292" s="404">
        <f t="shared" si="74"/>
        <v>5952213.954450024</v>
      </c>
      <c r="N292" s="48"/>
      <c r="O292" s="412"/>
      <c r="P292" s="412"/>
      <c r="Q292" s="48"/>
      <c r="R292" s="412"/>
      <c r="S292" s="412"/>
      <c r="T292" s="48"/>
      <c r="U292" s="412"/>
      <c r="V292" s="412"/>
      <c r="W292" s="412"/>
      <c r="X292" s="412"/>
    </row>
    <row r="293" spans="2:24" ht="12.75" outlineLevel="1">
      <c r="B293" s="472"/>
      <c r="C293" s="472"/>
      <c r="D293" s="472"/>
      <c r="E293" s="555"/>
      <c r="F293" s="555"/>
      <c r="G293" s="50"/>
      <c r="H293" s="50"/>
      <c r="I293" s="555"/>
      <c r="J293" s="555"/>
      <c r="K293" s="50"/>
      <c r="L293" s="50"/>
      <c r="M293" s="48"/>
      <c r="N293" s="48"/>
      <c r="O293" s="412"/>
      <c r="P293" s="412"/>
      <c r="Q293" s="48"/>
      <c r="R293" s="412"/>
      <c r="S293" s="412"/>
      <c r="T293" s="48"/>
      <c r="U293" s="412"/>
      <c r="V293" s="412"/>
      <c r="W293" s="412"/>
      <c r="X293" s="412"/>
    </row>
    <row r="294" spans="2:24" ht="12.75" outlineLevel="1">
      <c r="B294" s="447" t="s">
        <v>234</v>
      </c>
      <c r="C294" s="447"/>
      <c r="D294" s="447"/>
      <c r="E294" s="51">
        <v>0</v>
      </c>
      <c r="F294" s="51">
        <v>0</v>
      </c>
      <c r="G294" s="47">
        <v>0</v>
      </c>
      <c r="H294" s="47">
        <v>0</v>
      </c>
      <c r="I294" s="51">
        <v>0</v>
      </c>
      <c r="J294" s="51">
        <v>0</v>
      </c>
      <c r="K294" s="47">
        <v>0</v>
      </c>
      <c r="L294" s="47">
        <v>0</v>
      </c>
      <c r="M294" s="404">
        <f t="shared" si="74"/>
        <v>0</v>
      </c>
      <c r="N294" s="48"/>
      <c r="O294" s="412"/>
      <c r="P294" s="412"/>
      <c r="Q294" s="48"/>
      <c r="R294" s="412"/>
      <c r="S294" s="412"/>
      <c r="T294" s="48"/>
      <c r="U294" s="412"/>
      <c r="V294" s="412"/>
      <c r="W294" s="412"/>
      <c r="X294" s="412"/>
    </row>
    <row r="295" spans="2:24" ht="12.75" outlineLevel="1">
      <c r="B295" s="447" t="s">
        <v>275</v>
      </c>
      <c r="C295" s="447"/>
      <c r="D295" s="447"/>
      <c r="E295" s="49"/>
      <c r="F295" s="49"/>
      <c r="G295" s="50"/>
      <c r="H295" s="50"/>
      <c r="I295" s="49"/>
      <c r="J295" s="49"/>
      <c r="K295" s="50"/>
      <c r="L295" s="50"/>
      <c r="M295" s="48"/>
      <c r="N295" s="48"/>
      <c r="O295" s="412"/>
      <c r="P295" s="412"/>
      <c r="Q295" s="48"/>
      <c r="R295" s="412"/>
      <c r="S295" s="412"/>
      <c r="T295" s="48"/>
      <c r="U295" s="412"/>
      <c r="V295" s="412"/>
      <c r="W295" s="412"/>
      <c r="X295" s="412"/>
    </row>
    <row r="296" spans="2:24" ht="12.75" outlineLevel="1">
      <c r="B296" s="448" t="s">
        <v>238</v>
      </c>
      <c r="C296" s="447"/>
      <c r="D296" s="447"/>
      <c r="E296" s="49"/>
      <c r="F296" s="49"/>
      <c r="G296" s="50"/>
      <c r="H296" s="50"/>
      <c r="I296" s="49"/>
      <c r="J296" s="49"/>
      <c r="K296" s="50"/>
      <c r="L296" s="50"/>
      <c r="M296" s="48"/>
      <c r="N296" s="48"/>
      <c r="O296" s="412"/>
      <c r="P296" s="412"/>
      <c r="Q296" s="48"/>
      <c r="R296" s="412"/>
      <c r="S296" s="412"/>
      <c r="T296" s="48"/>
      <c r="U296" s="412"/>
      <c r="V296" s="412"/>
      <c r="W296" s="412"/>
      <c r="X296" s="412"/>
    </row>
    <row r="297" spans="2:24" ht="12.75" outlineLevel="1">
      <c r="B297" s="447" t="s">
        <v>230</v>
      </c>
      <c r="C297" s="447"/>
      <c r="D297" s="447"/>
      <c r="E297" s="51">
        <v>0</v>
      </c>
      <c r="F297" s="51">
        <v>0</v>
      </c>
      <c r="G297" s="47">
        <v>0</v>
      </c>
      <c r="H297" s="47">
        <v>0</v>
      </c>
      <c r="I297" s="51">
        <v>13.333333333333334</v>
      </c>
      <c r="J297" s="51">
        <v>0</v>
      </c>
      <c r="K297" s="47">
        <v>8.084090579710145</v>
      </c>
      <c r="L297" s="47">
        <v>0</v>
      </c>
      <c r="M297" s="404">
        <f aca="true" t="shared" si="75" ref="M297:M302">SUM(E297:L297)</f>
        <v>21.41742391304348</v>
      </c>
      <c r="N297" s="48"/>
      <c r="O297" s="412"/>
      <c r="P297" s="412"/>
      <c r="Q297" s="48"/>
      <c r="R297" s="412"/>
      <c r="S297" s="412"/>
      <c r="T297" s="48"/>
      <c r="U297" s="412"/>
      <c r="V297" s="412"/>
      <c r="W297" s="412"/>
      <c r="X297" s="412"/>
    </row>
    <row r="298" spans="2:24" ht="12.75" outlineLevel="1">
      <c r="B298" s="472"/>
      <c r="C298" s="472"/>
      <c r="D298" s="472"/>
      <c r="E298" s="555"/>
      <c r="F298" s="555"/>
      <c r="G298" s="50"/>
      <c r="H298" s="50"/>
      <c r="I298" s="555"/>
      <c r="J298" s="555"/>
      <c r="K298" s="50"/>
      <c r="L298" s="50"/>
      <c r="M298" s="48"/>
      <c r="N298" s="48"/>
      <c r="O298" s="412"/>
      <c r="P298" s="412"/>
      <c r="Q298" s="48"/>
      <c r="R298" s="412"/>
      <c r="S298" s="412"/>
      <c r="T298" s="48"/>
      <c r="U298" s="412"/>
      <c r="V298" s="412"/>
      <c r="W298" s="412"/>
      <c r="X298" s="412"/>
    </row>
    <row r="299" spans="2:24" ht="12.75" outlineLevel="1">
      <c r="B299" s="447" t="s">
        <v>231</v>
      </c>
      <c r="C299" s="447"/>
      <c r="D299" s="447"/>
      <c r="E299" s="51">
        <v>0</v>
      </c>
      <c r="F299" s="51">
        <v>0</v>
      </c>
      <c r="G299" s="47">
        <v>0</v>
      </c>
      <c r="H299" s="47">
        <v>0</v>
      </c>
      <c r="I299" s="51">
        <v>54842.95267489712</v>
      </c>
      <c r="J299" s="51">
        <v>0</v>
      </c>
      <c r="K299" s="47">
        <v>213457.95091324198</v>
      </c>
      <c r="L299" s="47">
        <v>0</v>
      </c>
      <c r="M299" s="404">
        <f t="shared" si="75"/>
        <v>268300.9035881391</v>
      </c>
      <c r="N299" s="48"/>
      <c r="O299" s="412"/>
      <c r="P299" s="412"/>
      <c r="Q299" s="48"/>
      <c r="R299" s="412"/>
      <c r="S299" s="412"/>
      <c r="T299" s="48"/>
      <c r="U299" s="412"/>
      <c r="V299" s="412"/>
      <c r="W299" s="412"/>
      <c r="X299" s="412"/>
    </row>
    <row r="300" spans="2:24" ht="12.75" outlineLevel="1">
      <c r="B300" s="447" t="s">
        <v>236</v>
      </c>
      <c r="C300" s="447"/>
      <c r="D300" s="447"/>
      <c r="E300" s="51">
        <v>0</v>
      </c>
      <c r="F300" s="51">
        <v>0</v>
      </c>
      <c r="G300" s="47">
        <v>0</v>
      </c>
      <c r="H300" s="47">
        <v>0</v>
      </c>
      <c r="I300" s="51">
        <v>987181.0476190477</v>
      </c>
      <c r="J300" s="51">
        <v>0</v>
      </c>
      <c r="K300" s="47">
        <v>1867413.176470588</v>
      </c>
      <c r="L300" s="47">
        <v>0</v>
      </c>
      <c r="M300" s="404">
        <f t="shared" si="75"/>
        <v>2854594.2240896355</v>
      </c>
      <c r="N300" s="48"/>
      <c r="O300" s="412"/>
      <c r="P300" s="412"/>
      <c r="Q300" s="48"/>
      <c r="R300" s="412"/>
      <c r="S300" s="412"/>
      <c r="T300" s="48"/>
      <c r="U300" s="412"/>
      <c r="V300" s="412"/>
      <c r="W300" s="412"/>
      <c r="X300" s="412"/>
    </row>
    <row r="301" spans="2:24" ht="12.75" outlineLevel="1">
      <c r="B301" s="472"/>
      <c r="C301" s="472"/>
      <c r="D301" s="472"/>
      <c r="E301" s="555"/>
      <c r="F301" s="555"/>
      <c r="G301" s="50"/>
      <c r="H301" s="50"/>
      <c r="I301" s="555"/>
      <c r="J301" s="555"/>
      <c r="K301" s="50"/>
      <c r="L301" s="50"/>
      <c r="M301" s="48"/>
      <c r="N301" s="48"/>
      <c r="O301" s="412"/>
      <c r="P301" s="412"/>
      <c r="Q301" s="48"/>
      <c r="R301" s="412"/>
      <c r="S301" s="412"/>
      <c r="T301" s="48"/>
      <c r="U301" s="412"/>
      <c r="V301" s="412"/>
      <c r="W301" s="412"/>
      <c r="X301" s="412"/>
    </row>
    <row r="302" spans="2:24" ht="12.75" outlineLevel="1">
      <c r="B302" s="447" t="s">
        <v>234</v>
      </c>
      <c r="C302" s="447"/>
      <c r="D302" s="447"/>
      <c r="E302" s="51">
        <v>0</v>
      </c>
      <c r="F302" s="51">
        <v>0</v>
      </c>
      <c r="G302" s="47">
        <v>0</v>
      </c>
      <c r="H302" s="47">
        <v>0</v>
      </c>
      <c r="I302" s="51">
        <v>0</v>
      </c>
      <c r="J302" s="51">
        <v>0</v>
      </c>
      <c r="K302" s="47">
        <v>0</v>
      </c>
      <c r="L302" s="47">
        <v>0</v>
      </c>
      <c r="M302" s="404">
        <f t="shared" si="75"/>
        <v>0</v>
      </c>
      <c r="N302" s="48"/>
      <c r="O302" s="412"/>
      <c r="P302" s="412"/>
      <c r="Q302" s="48"/>
      <c r="R302" s="412"/>
      <c r="S302" s="412"/>
      <c r="T302" s="48"/>
      <c r="U302" s="412"/>
      <c r="V302" s="412"/>
      <c r="W302" s="412"/>
      <c r="X302" s="412"/>
    </row>
    <row r="303" spans="2:24" ht="12.75" outlineLevel="1">
      <c r="B303" s="447" t="s">
        <v>275</v>
      </c>
      <c r="C303" s="447"/>
      <c r="D303" s="447"/>
      <c r="E303" s="52"/>
      <c r="F303" s="52"/>
      <c r="G303" s="50"/>
      <c r="H303" s="50"/>
      <c r="I303" s="52"/>
      <c r="J303" s="52"/>
      <c r="K303" s="50"/>
      <c r="L303" s="50"/>
      <c r="M303" s="48"/>
      <c r="N303" s="48"/>
      <c r="O303" s="412"/>
      <c r="P303" s="412"/>
      <c r="Q303" s="48"/>
      <c r="R303" s="412"/>
      <c r="S303" s="412"/>
      <c r="T303" s="48"/>
      <c r="U303" s="412"/>
      <c r="V303" s="412"/>
      <c r="W303" s="412"/>
      <c r="X303" s="412"/>
    </row>
    <row r="304" spans="2:24" ht="12.75" outlineLevel="1">
      <c r="B304" s="448" t="s">
        <v>239</v>
      </c>
      <c r="C304" s="447"/>
      <c r="D304" s="447"/>
      <c r="E304" s="49"/>
      <c r="F304" s="49"/>
      <c r="G304" s="50"/>
      <c r="H304" s="50"/>
      <c r="I304" s="49"/>
      <c r="J304" s="49"/>
      <c r="K304" s="50"/>
      <c r="L304" s="50"/>
      <c r="M304" s="48"/>
      <c r="N304" s="48"/>
      <c r="O304" s="412"/>
      <c r="P304" s="412"/>
      <c r="Q304" s="48"/>
      <c r="R304" s="412"/>
      <c r="S304" s="412"/>
      <c r="T304" s="48"/>
      <c r="U304" s="412"/>
      <c r="V304" s="412"/>
      <c r="W304" s="412"/>
      <c r="X304" s="412"/>
    </row>
    <row r="305" spans="2:24" ht="12.75" outlineLevel="1">
      <c r="B305" s="447" t="s">
        <v>230</v>
      </c>
      <c r="C305" s="447"/>
      <c r="D305" s="447"/>
      <c r="E305" s="51">
        <v>0</v>
      </c>
      <c r="F305" s="51">
        <v>40.08333333333333</v>
      </c>
      <c r="G305" s="47">
        <v>1.1428294111222486</v>
      </c>
      <c r="H305" s="47">
        <v>190.60472727272733</v>
      </c>
      <c r="I305" s="51">
        <v>284.6320490122805</v>
      </c>
      <c r="J305" s="51">
        <v>0</v>
      </c>
      <c r="K305" s="47">
        <v>98.19052173913046</v>
      </c>
      <c r="L305" s="47">
        <v>1</v>
      </c>
      <c r="M305" s="404">
        <f aca="true" t="shared" si="76" ref="M305:M310">SUM(E305:L305)</f>
        <v>615.6534607685938</v>
      </c>
      <c r="N305" s="48"/>
      <c r="O305" s="412"/>
      <c r="P305" s="412"/>
      <c r="Q305" s="48"/>
      <c r="R305" s="412"/>
      <c r="S305" s="412"/>
      <c r="T305" s="48"/>
      <c r="U305" s="412"/>
      <c r="V305" s="412"/>
      <c r="W305" s="412"/>
      <c r="X305" s="412"/>
    </row>
    <row r="306" spans="2:24" ht="12.75" outlineLevel="1">
      <c r="B306" s="472"/>
      <c r="C306" s="454"/>
      <c r="D306" s="454"/>
      <c r="E306" s="555"/>
      <c r="F306" s="566"/>
      <c r="G306" s="50"/>
      <c r="H306" s="50"/>
      <c r="I306" s="555"/>
      <c r="J306" s="555"/>
      <c r="K306" s="50"/>
      <c r="L306" s="50"/>
      <c r="M306" s="48"/>
      <c r="N306" s="48"/>
      <c r="O306" s="412"/>
      <c r="P306" s="412"/>
      <c r="Q306" s="48"/>
      <c r="R306" s="412"/>
      <c r="S306" s="412"/>
      <c r="T306" s="48"/>
      <c r="U306" s="412"/>
      <c r="V306" s="412"/>
      <c r="W306" s="412"/>
      <c r="X306" s="412"/>
    </row>
    <row r="307" spans="2:24" ht="12.75" outlineLevel="1">
      <c r="B307" s="447" t="s">
        <v>231</v>
      </c>
      <c r="C307" s="447"/>
      <c r="D307" s="447"/>
      <c r="E307" s="51">
        <v>0</v>
      </c>
      <c r="F307" s="51">
        <v>81165.00671478378</v>
      </c>
      <c r="G307" s="47">
        <v>16412.171669580595</v>
      </c>
      <c r="H307" s="47">
        <v>1382891.8870832333</v>
      </c>
      <c r="I307" s="51">
        <v>1008606.4874170622</v>
      </c>
      <c r="J307" s="51">
        <v>0</v>
      </c>
      <c r="K307" s="47">
        <v>339087.7191714836</v>
      </c>
      <c r="L307" s="47">
        <v>17800</v>
      </c>
      <c r="M307" s="404">
        <f t="shared" si="76"/>
        <v>2845963.2720561433</v>
      </c>
      <c r="N307" s="48"/>
      <c r="O307" s="412"/>
      <c r="P307" s="412"/>
      <c r="Q307" s="48"/>
      <c r="R307" s="412"/>
      <c r="S307" s="412"/>
      <c r="T307" s="48"/>
      <c r="U307" s="412"/>
      <c r="V307" s="412"/>
      <c r="W307" s="412"/>
      <c r="X307" s="412"/>
    </row>
    <row r="308" spans="2:24" ht="12.75" outlineLevel="1">
      <c r="B308" s="447" t="s">
        <v>232</v>
      </c>
      <c r="C308" s="447"/>
      <c r="D308" s="447"/>
      <c r="E308" s="51">
        <v>0</v>
      </c>
      <c r="F308" s="51">
        <v>0</v>
      </c>
      <c r="G308" s="47">
        <v>180952.57091540593</v>
      </c>
      <c r="H308" s="47">
        <v>13948293</v>
      </c>
      <c r="I308" s="51">
        <v>9506137.694530949</v>
      </c>
      <c r="J308" s="51">
        <v>0</v>
      </c>
      <c r="K308" s="47">
        <v>3285950.0798122073</v>
      </c>
      <c r="L308" s="47">
        <v>176736</v>
      </c>
      <c r="M308" s="404">
        <f t="shared" si="76"/>
        <v>27098069.345258564</v>
      </c>
      <c r="N308" s="48"/>
      <c r="O308" s="412"/>
      <c r="P308" s="412"/>
      <c r="Q308" s="48"/>
      <c r="R308" s="412"/>
      <c r="S308" s="412"/>
      <c r="T308" s="48"/>
      <c r="U308" s="412"/>
      <c r="V308" s="412"/>
      <c r="W308" s="412"/>
      <c r="X308" s="412"/>
    </row>
    <row r="309" spans="2:24" ht="12.75" outlineLevel="1">
      <c r="B309" s="472"/>
      <c r="C309" s="472"/>
      <c r="D309" s="472"/>
      <c r="E309" s="555"/>
      <c r="F309" s="555"/>
      <c r="G309" s="567"/>
      <c r="H309" s="50"/>
      <c r="I309" s="555"/>
      <c r="J309" s="555"/>
      <c r="K309" s="50"/>
      <c r="L309" s="50"/>
      <c r="M309" s="48"/>
      <c r="N309" s="48"/>
      <c r="O309" s="412"/>
      <c r="P309" s="412"/>
      <c r="Q309" s="48"/>
      <c r="R309" s="412"/>
      <c r="S309" s="412"/>
      <c r="T309" s="48"/>
      <c r="U309" s="412"/>
      <c r="V309" s="412"/>
      <c r="W309" s="412"/>
      <c r="X309" s="412"/>
    </row>
    <row r="310" spans="2:24" ht="12.75" outlineLevel="1">
      <c r="B310" s="447" t="s">
        <v>234</v>
      </c>
      <c r="C310" s="447"/>
      <c r="D310" s="447"/>
      <c r="E310" s="51">
        <v>0</v>
      </c>
      <c r="F310" s="51">
        <v>0</v>
      </c>
      <c r="G310" s="47">
        <v>0</v>
      </c>
      <c r="H310" s="47">
        <v>57840489.09090909</v>
      </c>
      <c r="I310" s="51">
        <v>0</v>
      </c>
      <c r="J310" s="51">
        <v>0</v>
      </c>
      <c r="K310" s="47">
        <v>15106396.666666668</v>
      </c>
      <c r="L310" s="47">
        <v>0</v>
      </c>
      <c r="M310" s="404">
        <f t="shared" si="76"/>
        <v>72946885.75757577</v>
      </c>
      <c r="N310" s="48"/>
      <c r="O310" s="412"/>
      <c r="P310" s="412"/>
      <c r="Q310" s="48"/>
      <c r="R310" s="412"/>
      <c r="S310" s="412"/>
      <c r="T310" s="48"/>
      <c r="U310" s="412"/>
      <c r="V310" s="412"/>
      <c r="W310" s="412"/>
      <c r="X310" s="412"/>
    </row>
    <row r="311" spans="2:24" ht="12.75" outlineLevel="1">
      <c r="B311" s="447" t="s">
        <v>275</v>
      </c>
      <c r="C311" s="447"/>
      <c r="D311" s="447"/>
      <c r="E311" s="49"/>
      <c r="F311" s="49"/>
      <c r="G311" s="50"/>
      <c r="H311" s="50"/>
      <c r="I311" s="49"/>
      <c r="J311" s="49"/>
      <c r="K311" s="50"/>
      <c r="L311" s="50"/>
      <c r="M311" s="48"/>
      <c r="N311" s="48"/>
      <c r="O311" s="412"/>
      <c r="P311" s="412"/>
      <c r="Q311" s="48"/>
      <c r="R311" s="412"/>
      <c r="S311" s="412"/>
      <c r="T311" s="48"/>
      <c r="U311" s="412"/>
      <c r="V311" s="412"/>
      <c r="W311" s="412"/>
      <c r="X311" s="412"/>
    </row>
    <row r="312" spans="2:24" ht="12.75" outlineLevel="1">
      <c r="B312" s="448" t="s">
        <v>240</v>
      </c>
      <c r="C312" s="447"/>
      <c r="D312" s="447"/>
      <c r="E312" s="49"/>
      <c r="F312" s="49"/>
      <c r="G312" s="50"/>
      <c r="H312" s="50"/>
      <c r="I312" s="49"/>
      <c r="J312" s="49"/>
      <c r="K312" s="50"/>
      <c r="L312" s="50"/>
      <c r="M312" s="48"/>
      <c r="N312" s="48"/>
      <c r="O312" s="412"/>
      <c r="P312" s="412"/>
      <c r="Q312" s="48"/>
      <c r="R312" s="412"/>
      <c r="S312" s="412"/>
      <c r="T312" s="48"/>
      <c r="U312" s="412"/>
      <c r="V312" s="412"/>
      <c r="W312" s="412"/>
      <c r="X312" s="412"/>
    </row>
    <row r="313" spans="2:24" ht="12.75" outlineLevel="1">
      <c r="B313" s="447" t="s">
        <v>230</v>
      </c>
      <c r="C313" s="447"/>
      <c r="D313" s="447"/>
      <c r="E313" s="51">
        <v>0</v>
      </c>
      <c r="F313" s="51">
        <v>1</v>
      </c>
      <c r="G313" s="47">
        <v>0</v>
      </c>
      <c r="H313" s="47">
        <v>14.545454545454545</v>
      </c>
      <c r="I313" s="51">
        <v>10.333155208737425</v>
      </c>
      <c r="J313" s="51">
        <v>0</v>
      </c>
      <c r="K313" s="47">
        <v>1.9416666666666667</v>
      </c>
      <c r="L313" s="47">
        <v>0</v>
      </c>
      <c r="M313" s="404">
        <f aca="true" t="shared" si="77" ref="M313:M318">SUM(E313:L313)</f>
        <v>27.820276420858637</v>
      </c>
      <c r="N313" s="48"/>
      <c r="O313" s="412"/>
      <c r="P313" s="412"/>
      <c r="Q313" s="48"/>
      <c r="R313" s="412"/>
      <c r="S313" s="412"/>
      <c r="T313" s="48"/>
      <c r="U313" s="412"/>
      <c r="V313" s="412"/>
      <c r="W313" s="412"/>
      <c r="X313" s="412"/>
    </row>
    <row r="314" spans="2:24" ht="12.75" outlineLevel="1">
      <c r="B314" s="472"/>
      <c r="C314" s="454"/>
      <c r="D314" s="454"/>
      <c r="E314" s="555"/>
      <c r="F314" s="566"/>
      <c r="G314" s="50"/>
      <c r="H314" s="50"/>
      <c r="I314" s="555"/>
      <c r="J314" s="555"/>
      <c r="K314" s="50"/>
      <c r="L314" s="50"/>
      <c r="M314" s="48"/>
      <c r="N314" s="48"/>
      <c r="O314" s="412"/>
      <c r="P314" s="412"/>
      <c r="Q314" s="48"/>
      <c r="R314" s="412"/>
      <c r="S314" s="412"/>
      <c r="T314" s="48"/>
      <c r="U314" s="412"/>
      <c r="V314" s="412"/>
      <c r="W314" s="412"/>
      <c r="X314" s="412"/>
    </row>
    <row r="315" spans="2:24" ht="12.75" outlineLevel="1">
      <c r="B315" s="447" t="s">
        <v>231</v>
      </c>
      <c r="C315" s="447"/>
      <c r="D315" s="447"/>
      <c r="E315" s="51">
        <v>0</v>
      </c>
      <c r="F315" s="51">
        <v>9116</v>
      </c>
      <c r="G315" s="47">
        <v>0</v>
      </c>
      <c r="H315" s="47">
        <v>94925.09042935954</v>
      </c>
      <c r="I315" s="51">
        <v>28492.333333333332</v>
      </c>
      <c r="J315" s="51">
        <v>0</v>
      </c>
      <c r="K315" s="47">
        <v>11853.759578544063</v>
      </c>
      <c r="L315" s="47">
        <v>0</v>
      </c>
      <c r="M315" s="404">
        <f t="shared" si="77"/>
        <v>144387.18334123693</v>
      </c>
      <c r="N315" s="48"/>
      <c r="O315" s="412"/>
      <c r="P315" s="412"/>
      <c r="Q315" s="48"/>
      <c r="R315" s="412"/>
      <c r="S315" s="412"/>
      <c r="T315" s="48"/>
      <c r="U315" s="412"/>
      <c r="V315" s="412"/>
      <c r="W315" s="412"/>
      <c r="X315" s="412"/>
    </row>
    <row r="316" spans="2:24" ht="12.75" outlineLevel="1">
      <c r="B316" s="447" t="s">
        <v>236</v>
      </c>
      <c r="C316" s="447"/>
      <c r="D316" s="447"/>
      <c r="E316" s="51">
        <v>0</v>
      </c>
      <c r="F316" s="51">
        <v>0</v>
      </c>
      <c r="G316" s="47">
        <v>0</v>
      </c>
      <c r="H316" s="47">
        <v>1167599</v>
      </c>
      <c r="I316" s="51">
        <v>499010.31847739854</v>
      </c>
      <c r="J316" s="51">
        <v>0</v>
      </c>
      <c r="K316" s="47">
        <v>212731.472972973</v>
      </c>
      <c r="L316" s="47">
        <v>0</v>
      </c>
      <c r="M316" s="404">
        <f t="shared" si="77"/>
        <v>1879340.7914503715</v>
      </c>
      <c r="N316" s="48"/>
      <c r="O316" s="412"/>
      <c r="P316" s="412"/>
      <c r="Q316" s="48"/>
      <c r="R316" s="412"/>
      <c r="S316" s="412"/>
      <c r="T316" s="48"/>
      <c r="U316" s="412"/>
      <c r="V316" s="412"/>
      <c r="W316" s="412"/>
      <c r="X316" s="412"/>
    </row>
    <row r="317" spans="2:24" ht="12.75" outlineLevel="1">
      <c r="B317" s="472"/>
      <c r="C317" s="472"/>
      <c r="D317" s="472"/>
      <c r="E317" s="555"/>
      <c r="F317" s="555"/>
      <c r="G317" s="50"/>
      <c r="H317" s="50"/>
      <c r="I317" s="555"/>
      <c r="J317" s="555"/>
      <c r="K317" s="50"/>
      <c r="L317" s="50"/>
      <c r="M317" s="48"/>
      <c r="N317" s="48"/>
      <c r="O317" s="412"/>
      <c r="P317" s="412"/>
      <c r="Q317" s="48"/>
      <c r="R317" s="412"/>
      <c r="S317" s="412"/>
      <c r="T317" s="48"/>
      <c r="U317" s="412"/>
      <c r="V317" s="412"/>
      <c r="W317" s="412"/>
      <c r="X317" s="412"/>
    </row>
    <row r="318" spans="2:24" ht="12.75" outlineLevel="1">
      <c r="B318" s="447" t="s">
        <v>234</v>
      </c>
      <c r="C318" s="447"/>
      <c r="D318" s="447"/>
      <c r="E318" s="51">
        <v>0</v>
      </c>
      <c r="F318" s="51">
        <v>0</v>
      </c>
      <c r="G318" s="47">
        <v>0</v>
      </c>
      <c r="H318" s="47">
        <v>9059109.090909092</v>
      </c>
      <c r="I318" s="51">
        <v>0</v>
      </c>
      <c r="J318" s="51">
        <v>0</v>
      </c>
      <c r="K318" s="47">
        <v>0</v>
      </c>
      <c r="L318" s="47">
        <v>0</v>
      </c>
      <c r="M318" s="404">
        <f t="shared" si="77"/>
        <v>9059109.090909092</v>
      </c>
      <c r="N318" s="48"/>
      <c r="O318" s="412"/>
      <c r="P318" s="412"/>
      <c r="Q318" s="48"/>
      <c r="R318" s="412"/>
      <c r="S318" s="412"/>
      <c r="T318" s="48"/>
      <c r="U318" s="412"/>
      <c r="V318" s="412"/>
      <c r="W318" s="412"/>
      <c r="X318" s="412"/>
    </row>
    <row r="319" spans="2:24" ht="12.75" outlineLevel="1">
      <c r="B319" s="447" t="s">
        <v>275</v>
      </c>
      <c r="C319" s="447"/>
      <c r="D319" s="447"/>
      <c r="E319" s="52"/>
      <c r="F319" s="52"/>
      <c r="G319" s="50"/>
      <c r="H319" s="50"/>
      <c r="I319" s="52"/>
      <c r="J319" s="52"/>
      <c r="K319" s="50"/>
      <c r="L319" s="50"/>
      <c r="M319" s="48"/>
      <c r="N319" s="48"/>
      <c r="O319" s="412"/>
      <c r="P319" s="412"/>
      <c r="Q319" s="48"/>
      <c r="R319" s="412"/>
      <c r="S319" s="412"/>
      <c r="T319" s="48"/>
      <c r="U319" s="412"/>
      <c r="V319" s="412"/>
      <c r="W319" s="412"/>
      <c r="X319" s="412"/>
    </row>
    <row r="320" spans="2:24" ht="12.75" outlineLevel="1">
      <c r="B320" s="448" t="s">
        <v>241</v>
      </c>
      <c r="C320" s="447"/>
      <c r="D320" s="447"/>
      <c r="E320" s="49"/>
      <c r="F320" s="49"/>
      <c r="G320" s="50"/>
      <c r="H320" s="50"/>
      <c r="I320" s="49"/>
      <c r="J320" s="49"/>
      <c r="K320" s="50"/>
      <c r="L320" s="50"/>
      <c r="M320" s="48"/>
      <c r="N320" s="48"/>
      <c r="O320" s="412"/>
      <c r="P320" s="412"/>
      <c r="Q320" s="48"/>
      <c r="R320" s="412"/>
      <c r="S320" s="412"/>
      <c r="T320" s="48"/>
      <c r="U320" s="412"/>
      <c r="V320" s="412"/>
      <c r="W320" s="412"/>
      <c r="X320" s="412"/>
    </row>
    <row r="321" spans="2:24" ht="12.75" outlineLevel="1">
      <c r="B321" s="447" t="s">
        <v>230</v>
      </c>
      <c r="C321" s="447"/>
      <c r="D321" s="447"/>
      <c r="E321" s="46">
        <v>0</v>
      </c>
      <c r="F321" s="53">
        <v>0</v>
      </c>
      <c r="G321" s="47">
        <v>3.981991934757148</v>
      </c>
      <c r="H321" s="47">
        <v>251.4509956709957</v>
      </c>
      <c r="I321" s="46">
        <v>0</v>
      </c>
      <c r="J321" s="46">
        <v>1</v>
      </c>
      <c r="K321" s="47">
        <v>0</v>
      </c>
      <c r="L321" s="47">
        <v>0</v>
      </c>
      <c r="M321" s="404">
        <f>SUM(E321:L321)</f>
        <v>256.4329876057528</v>
      </c>
      <c r="N321" s="48"/>
      <c r="O321" s="412"/>
      <c r="P321" s="412"/>
      <c r="Q321" s="48"/>
      <c r="R321" s="412"/>
      <c r="S321" s="412"/>
      <c r="T321" s="48"/>
      <c r="U321" s="412"/>
      <c r="V321" s="412"/>
      <c r="W321" s="412"/>
      <c r="X321" s="412"/>
    </row>
    <row r="322" spans="2:24" ht="12.75" outlineLevel="1">
      <c r="B322" s="447" t="s">
        <v>242</v>
      </c>
      <c r="C322" s="447"/>
      <c r="D322" s="447"/>
      <c r="E322" s="46">
        <v>0</v>
      </c>
      <c r="F322" s="53">
        <v>0</v>
      </c>
      <c r="G322" s="47">
        <v>22003.337201738654</v>
      </c>
      <c r="H322" s="47">
        <v>713152.9681415927</v>
      </c>
      <c r="I322" s="46">
        <v>0</v>
      </c>
      <c r="J322" s="46">
        <v>6830</v>
      </c>
      <c r="K322" s="47">
        <v>0</v>
      </c>
      <c r="L322" s="47">
        <v>0</v>
      </c>
      <c r="M322" s="404">
        <f>SUM(E322:L322)</f>
        <v>741986.3053433313</v>
      </c>
      <c r="N322" s="48"/>
      <c r="O322" s="412"/>
      <c r="P322" s="412"/>
      <c r="Q322" s="48"/>
      <c r="R322" s="412"/>
      <c r="S322" s="412"/>
      <c r="T322" s="48"/>
      <c r="U322" s="412"/>
      <c r="V322" s="412"/>
      <c r="W322" s="412"/>
      <c r="X322" s="412"/>
    </row>
    <row r="323" spans="2:24" ht="12.75" outlineLevel="1">
      <c r="B323" s="447" t="s">
        <v>232</v>
      </c>
      <c r="C323" s="447"/>
      <c r="D323" s="447"/>
      <c r="E323" s="46">
        <v>0</v>
      </c>
      <c r="F323" s="53">
        <v>0</v>
      </c>
      <c r="G323" s="47">
        <v>249108.98272194673</v>
      </c>
      <c r="H323" s="47">
        <v>6916425</v>
      </c>
      <c r="I323" s="46">
        <v>0</v>
      </c>
      <c r="J323" s="46">
        <v>64616</v>
      </c>
      <c r="K323" s="47">
        <v>0</v>
      </c>
      <c r="L323" s="47">
        <v>0</v>
      </c>
      <c r="M323" s="404">
        <f>SUM(E323:L323)</f>
        <v>7230149.982721947</v>
      </c>
      <c r="N323" s="48"/>
      <c r="O323" s="412"/>
      <c r="P323" s="412"/>
      <c r="Q323" s="48"/>
      <c r="R323" s="412"/>
      <c r="S323" s="412"/>
      <c r="T323" s="48"/>
      <c r="U323" s="412"/>
      <c r="V323" s="412"/>
      <c r="W323" s="412"/>
      <c r="X323" s="412"/>
    </row>
    <row r="324" spans="2:24" ht="12.75" outlineLevel="1">
      <c r="B324" s="447" t="s">
        <v>233</v>
      </c>
      <c r="C324" s="447"/>
      <c r="D324" s="447"/>
      <c r="E324" s="46">
        <v>0</v>
      </c>
      <c r="F324" s="53">
        <v>0</v>
      </c>
      <c r="G324" s="47">
        <v>91128820.50540927</v>
      </c>
      <c r="H324" s="47">
        <v>2880660598.942918</v>
      </c>
      <c r="I324" s="46">
        <v>0</v>
      </c>
      <c r="J324" s="46">
        <v>7533100</v>
      </c>
      <c r="K324" s="47">
        <v>0</v>
      </c>
      <c r="L324" s="47">
        <v>0</v>
      </c>
      <c r="M324" s="404">
        <f>SUM(E324:L324)</f>
        <v>2979322519.448327</v>
      </c>
      <c r="N324" s="48"/>
      <c r="O324" s="412"/>
      <c r="P324" s="412"/>
      <c r="Q324" s="48"/>
      <c r="R324" s="412"/>
      <c r="S324" s="412"/>
      <c r="T324" s="48"/>
      <c r="U324" s="412"/>
      <c r="V324" s="412"/>
      <c r="W324" s="412"/>
      <c r="X324" s="412"/>
    </row>
    <row r="325" spans="2:24" ht="12.75" outlineLevel="1">
      <c r="B325" s="447" t="s">
        <v>234</v>
      </c>
      <c r="C325" s="447"/>
      <c r="D325" s="447"/>
      <c r="E325" s="46">
        <v>0</v>
      </c>
      <c r="F325" s="53">
        <v>0</v>
      </c>
      <c r="G325" s="47">
        <v>0</v>
      </c>
      <c r="H325" s="47">
        <v>74890023.93939394</v>
      </c>
      <c r="I325" s="46">
        <v>0</v>
      </c>
      <c r="J325" s="46">
        <v>0</v>
      </c>
      <c r="K325" s="47">
        <v>0</v>
      </c>
      <c r="L325" s="47">
        <v>0</v>
      </c>
      <c r="M325" s="404">
        <f>SUM(E325:L325)</f>
        <v>74890023.93939394</v>
      </c>
      <c r="N325" s="48"/>
      <c r="O325" s="412"/>
      <c r="P325" s="412"/>
      <c r="Q325" s="48"/>
      <c r="R325" s="412"/>
      <c r="S325" s="412"/>
      <c r="T325" s="48"/>
      <c r="U325" s="412"/>
      <c r="V325" s="412"/>
      <c r="W325" s="412"/>
      <c r="X325" s="412"/>
    </row>
    <row r="326" spans="2:24" ht="12.75" outlineLevel="1">
      <c r="B326" s="447" t="s">
        <v>275</v>
      </c>
      <c r="C326" s="447"/>
      <c r="D326" s="447"/>
      <c r="E326" s="52"/>
      <c r="F326" s="52"/>
      <c r="G326" s="50"/>
      <c r="H326" s="50"/>
      <c r="I326" s="52"/>
      <c r="J326" s="52"/>
      <c r="K326" s="50"/>
      <c r="L326" s="50"/>
      <c r="M326" s="48"/>
      <c r="N326" s="48"/>
      <c r="O326" s="412"/>
      <c r="P326" s="412"/>
      <c r="Q326" s="48"/>
      <c r="R326" s="412"/>
      <c r="S326" s="412"/>
      <c r="T326" s="48"/>
      <c r="U326" s="412"/>
      <c r="V326" s="412"/>
      <c r="W326" s="412"/>
      <c r="X326" s="412"/>
    </row>
    <row r="327" spans="2:24" ht="12.75" outlineLevel="1">
      <c r="B327" s="448" t="s">
        <v>243</v>
      </c>
      <c r="C327" s="447"/>
      <c r="D327" s="447"/>
      <c r="E327" s="49"/>
      <c r="F327" s="49"/>
      <c r="G327" s="50"/>
      <c r="H327" s="50"/>
      <c r="I327" s="49"/>
      <c r="J327" s="49"/>
      <c r="K327" s="50"/>
      <c r="L327" s="50"/>
      <c r="M327" s="48"/>
      <c r="N327" s="48"/>
      <c r="O327" s="412"/>
      <c r="P327" s="412"/>
      <c r="Q327" s="48"/>
      <c r="R327" s="412"/>
      <c r="S327" s="412"/>
      <c r="T327" s="48"/>
      <c r="U327" s="412"/>
      <c r="V327" s="412"/>
      <c r="W327" s="412"/>
      <c r="X327" s="412"/>
    </row>
    <row r="328" spans="2:24" ht="12.75" outlineLevel="1">
      <c r="B328" s="447" t="s">
        <v>230</v>
      </c>
      <c r="C328" s="447"/>
      <c r="D328" s="447"/>
      <c r="E328" s="53">
        <v>30.23076923076923</v>
      </c>
      <c r="F328" s="53">
        <v>352.9472108843538</v>
      </c>
      <c r="G328" s="47">
        <v>575.6238296360095</v>
      </c>
      <c r="H328" s="47">
        <v>8743.947829313543</v>
      </c>
      <c r="I328" s="53">
        <v>8638.569251077195</v>
      </c>
      <c r="J328" s="53">
        <v>20.58</v>
      </c>
      <c r="K328" s="47">
        <v>2908.130430839002</v>
      </c>
      <c r="L328" s="47">
        <v>247.56251700680275</v>
      </c>
      <c r="M328" s="404">
        <f>SUM(E328:L328)</f>
        <v>21517.591837987675</v>
      </c>
      <c r="N328" s="48"/>
      <c r="O328" s="412"/>
      <c r="P328" s="412"/>
      <c r="Q328" s="48"/>
      <c r="R328" s="412"/>
      <c r="S328" s="412"/>
      <c r="T328" s="48"/>
      <c r="U328" s="412"/>
      <c r="V328" s="412"/>
      <c r="W328" s="412"/>
      <c r="X328" s="412"/>
    </row>
    <row r="329" spans="2:24" ht="12.75" outlineLevel="1">
      <c r="B329" s="447" t="s">
        <v>242</v>
      </c>
      <c r="C329" s="447"/>
      <c r="D329" s="447"/>
      <c r="E329" s="53">
        <v>31827</v>
      </c>
      <c r="F329" s="53">
        <v>180269.14326839492</v>
      </c>
      <c r="G329" s="47">
        <v>143689.84908830476</v>
      </c>
      <c r="H329" s="47">
        <v>2863578.9072937965</v>
      </c>
      <c r="I329" s="53">
        <v>3220467.230907187</v>
      </c>
      <c r="J329" s="53">
        <v>21718</v>
      </c>
      <c r="K329" s="47">
        <v>1879616.018867925</v>
      </c>
      <c r="L329" s="47">
        <v>255866.62059620593</v>
      </c>
      <c r="M329" s="404">
        <f>SUM(E329:L329)</f>
        <v>8597032.770021815</v>
      </c>
      <c r="N329" s="48"/>
      <c r="O329" s="412"/>
      <c r="P329" s="412"/>
      <c r="Q329" s="48"/>
      <c r="R329" s="412"/>
      <c r="S329" s="412"/>
      <c r="T329" s="48"/>
      <c r="U329" s="412"/>
      <c r="V329" s="412"/>
      <c r="W329" s="412"/>
      <c r="X329" s="412"/>
    </row>
    <row r="330" spans="2:24" ht="12.75" outlineLevel="1">
      <c r="B330" s="447" t="s">
        <v>232</v>
      </c>
      <c r="C330" s="447"/>
      <c r="D330" s="447"/>
      <c r="E330" s="53">
        <v>326997</v>
      </c>
      <c r="F330" s="53">
        <v>1451239.1944824283</v>
      </c>
      <c r="G330" s="47">
        <v>1193866.8127275377</v>
      </c>
      <c r="H330" s="47">
        <v>25840610</v>
      </c>
      <c r="I330" s="53">
        <v>26499151.988944307</v>
      </c>
      <c r="J330" s="53">
        <v>211556</v>
      </c>
      <c r="K330" s="47">
        <v>14232267.743589748</v>
      </c>
      <c r="L330" s="47">
        <v>1864254.9503546103</v>
      </c>
      <c r="M330" s="404">
        <f>SUM(E330:L330)</f>
        <v>71619943.69009863</v>
      </c>
      <c r="N330" s="48"/>
      <c r="O330" s="412"/>
      <c r="P330" s="412"/>
      <c r="Q330" s="48"/>
      <c r="R330" s="412"/>
      <c r="S330" s="412"/>
      <c r="T330" s="48"/>
      <c r="U330" s="412"/>
      <c r="V330" s="412"/>
      <c r="W330" s="412"/>
      <c r="X330" s="412"/>
    </row>
    <row r="331" spans="2:24" ht="12.75" outlineLevel="1">
      <c r="B331" s="447" t="s">
        <v>233</v>
      </c>
      <c r="C331" s="447"/>
      <c r="D331" s="447"/>
      <c r="E331" s="53">
        <v>115153203</v>
      </c>
      <c r="F331" s="53">
        <v>458936565.8346821</v>
      </c>
      <c r="G331" s="47">
        <v>393667342.9769135</v>
      </c>
      <c r="H331" s="47">
        <v>8017837964.59893</v>
      </c>
      <c r="I331" s="53">
        <v>8748176212.2427</v>
      </c>
      <c r="J331" s="53">
        <v>79520169</v>
      </c>
      <c r="K331" s="47">
        <v>4837683035.353536</v>
      </c>
      <c r="L331" s="47">
        <v>441358373.6842106</v>
      </c>
      <c r="M331" s="404">
        <f>SUM(E331:L331)</f>
        <v>23092332866.690975</v>
      </c>
      <c r="N331" s="48"/>
      <c r="O331" s="412"/>
      <c r="P331" s="412"/>
      <c r="Q331" s="48"/>
      <c r="R331" s="412"/>
      <c r="S331" s="412"/>
      <c r="T331" s="48"/>
      <c r="U331" s="412"/>
      <c r="V331" s="412"/>
      <c r="W331" s="412"/>
      <c r="X331" s="412"/>
    </row>
    <row r="332" spans="2:24" ht="12.75" outlineLevel="1">
      <c r="B332" s="447" t="s">
        <v>234</v>
      </c>
      <c r="C332" s="447"/>
      <c r="D332" s="447"/>
      <c r="E332" s="53">
        <v>1697501</v>
      </c>
      <c r="F332" s="53">
        <v>0</v>
      </c>
      <c r="G332" s="47">
        <v>5663332.231259481</v>
      </c>
      <c r="H332" s="47">
        <v>257286663.93939397</v>
      </c>
      <c r="I332" s="53">
        <v>0</v>
      </c>
      <c r="J332" s="53">
        <v>1893717</v>
      </c>
      <c r="K332" s="47">
        <v>72805428.33333333</v>
      </c>
      <c r="L332" s="47">
        <v>0</v>
      </c>
      <c r="M332" s="404">
        <f>SUM(E332:L332)</f>
        <v>339346642.5039868</v>
      </c>
      <c r="N332" s="48"/>
      <c r="O332" s="412"/>
      <c r="P332" s="412"/>
      <c r="Q332" s="48"/>
      <c r="R332" s="412"/>
      <c r="S332" s="412"/>
      <c r="T332" s="48"/>
      <c r="U332" s="412"/>
      <c r="V332" s="412"/>
      <c r="W332" s="412"/>
      <c r="X332" s="412"/>
    </row>
    <row r="333" spans="2:24" ht="12.75" outlineLevel="1">
      <c r="B333" s="447" t="s">
        <v>275</v>
      </c>
      <c r="C333" s="447"/>
      <c r="D333" s="447"/>
      <c r="E333" s="49"/>
      <c r="F333" s="49"/>
      <c r="G333" s="50"/>
      <c r="H333" s="50"/>
      <c r="I333" s="49"/>
      <c r="J333" s="49"/>
      <c r="K333" s="50"/>
      <c r="L333" s="50"/>
      <c r="M333" s="48"/>
      <c r="N333" s="48"/>
      <c r="O333" s="412"/>
      <c r="P333" s="412"/>
      <c r="Q333" s="48"/>
      <c r="R333" s="412"/>
      <c r="S333" s="412"/>
      <c r="T333" s="48"/>
      <c r="U333" s="412"/>
      <c r="V333" s="412"/>
      <c r="W333" s="412"/>
      <c r="X333" s="412"/>
    </row>
    <row r="334" spans="2:24" ht="12.75" outlineLevel="1">
      <c r="B334" s="448" t="s">
        <v>244</v>
      </c>
      <c r="C334" s="447"/>
      <c r="D334" s="447"/>
      <c r="E334" s="49"/>
      <c r="F334" s="49"/>
      <c r="G334" s="50"/>
      <c r="H334" s="50"/>
      <c r="I334" s="49"/>
      <c r="J334" s="49"/>
      <c r="K334" s="50"/>
      <c r="L334" s="50"/>
      <c r="M334" s="48"/>
      <c r="N334" s="48"/>
      <c r="O334" s="412"/>
      <c r="P334" s="412"/>
      <c r="Q334" s="48"/>
      <c r="R334" s="412"/>
      <c r="S334" s="412"/>
      <c r="T334" s="48"/>
      <c r="U334" s="412"/>
      <c r="V334" s="412"/>
      <c r="W334" s="412"/>
      <c r="X334" s="412"/>
    </row>
    <row r="335" spans="2:24" ht="12.75" outlineLevel="1">
      <c r="B335" s="447" t="s">
        <v>230</v>
      </c>
      <c r="C335" s="447"/>
      <c r="D335" s="447"/>
      <c r="E335" s="53">
        <v>209.23076923076923</v>
      </c>
      <c r="F335" s="53">
        <v>1369.441609977324</v>
      </c>
      <c r="G335" s="47">
        <v>743.2076460869349</v>
      </c>
      <c r="H335" s="47">
        <v>14115.985930735937</v>
      </c>
      <c r="I335" s="53">
        <v>13013.498951440904</v>
      </c>
      <c r="J335" s="53">
        <v>124.94</v>
      </c>
      <c r="K335" s="47">
        <v>8427.419160997733</v>
      </c>
      <c r="L335" s="47">
        <v>1054.7814058956917</v>
      </c>
      <c r="M335" s="404">
        <f>SUM(E335:L335)</f>
        <v>39058.505474365295</v>
      </c>
      <c r="N335" s="48"/>
      <c r="O335" s="412"/>
      <c r="P335" s="412"/>
      <c r="Q335" s="48"/>
      <c r="R335" s="412"/>
      <c r="S335" s="412"/>
      <c r="T335" s="48"/>
      <c r="U335" s="412"/>
      <c r="V335" s="412"/>
      <c r="W335" s="412"/>
      <c r="X335" s="412"/>
    </row>
    <row r="336" spans="2:24" ht="12.75" outlineLevel="1">
      <c r="B336" s="447" t="s">
        <v>242</v>
      </c>
      <c r="C336" s="447"/>
      <c r="D336" s="447"/>
      <c r="E336" s="53">
        <v>39080.833333333336</v>
      </c>
      <c r="F336" s="53">
        <v>129182.5892997537</v>
      </c>
      <c r="G336" s="47">
        <v>39749.07210452842</v>
      </c>
      <c r="H336" s="47">
        <v>1035786.1391905633</v>
      </c>
      <c r="I336" s="53">
        <v>1156592.3861578444</v>
      </c>
      <c r="J336" s="53">
        <v>20962</v>
      </c>
      <c r="K336" s="47">
        <v>1123543.1707070707</v>
      </c>
      <c r="L336" s="47">
        <v>226553.4458483754</v>
      </c>
      <c r="M336" s="404">
        <f>SUM(E336:L336)</f>
        <v>3771449.6366414693</v>
      </c>
      <c r="N336" s="48"/>
      <c r="O336" s="412"/>
      <c r="P336" s="412"/>
      <c r="Q336" s="48"/>
      <c r="R336" s="412"/>
      <c r="S336" s="412"/>
      <c r="T336" s="48"/>
      <c r="U336" s="412"/>
      <c r="V336" s="412"/>
      <c r="W336" s="412"/>
      <c r="X336" s="412"/>
    </row>
    <row r="337" spans="2:24" ht="12.75" outlineLevel="1">
      <c r="B337" s="447" t="s">
        <v>232</v>
      </c>
      <c r="C337" s="447"/>
      <c r="D337" s="447"/>
      <c r="E337" s="53">
        <v>345771</v>
      </c>
      <c r="F337" s="53">
        <v>1027592.7890870945</v>
      </c>
      <c r="G337" s="47">
        <v>281928.2268187593</v>
      </c>
      <c r="H337" s="47">
        <v>8312690</v>
      </c>
      <c r="I337" s="53">
        <v>9120875.90682236</v>
      </c>
      <c r="J337" s="53">
        <v>199019</v>
      </c>
      <c r="K337" s="47">
        <v>7816825.006410257</v>
      </c>
      <c r="L337" s="47">
        <v>1689610.936170213</v>
      </c>
      <c r="M337" s="404">
        <f>SUM(E337:L337)</f>
        <v>28794312.86530868</v>
      </c>
      <c r="N337" s="48"/>
      <c r="O337" s="412"/>
      <c r="P337" s="412"/>
      <c r="Q337" s="48"/>
      <c r="R337" s="412"/>
      <c r="S337" s="412"/>
      <c r="T337" s="48"/>
      <c r="U337" s="412"/>
      <c r="V337" s="412"/>
      <c r="W337" s="412"/>
      <c r="X337" s="412"/>
    </row>
    <row r="338" spans="2:24" ht="12.75" outlineLevel="1">
      <c r="B338" s="447" t="s">
        <v>233</v>
      </c>
      <c r="C338" s="447"/>
      <c r="D338" s="447"/>
      <c r="E338" s="53">
        <v>99083562</v>
      </c>
      <c r="F338" s="53">
        <v>274840492.0634919</v>
      </c>
      <c r="G338" s="47">
        <v>73348445.03478359</v>
      </c>
      <c r="H338" s="47">
        <v>2198495797.6470594</v>
      </c>
      <c r="I338" s="53">
        <v>2554557106.135801</v>
      </c>
      <c r="J338" s="53">
        <v>52633617</v>
      </c>
      <c r="K338" s="47">
        <v>2289616419.191919</v>
      </c>
      <c r="L338" s="47">
        <v>434528068.42105263</v>
      </c>
      <c r="M338" s="404">
        <f>SUM(E338:L338)</f>
        <v>7977103507.494108</v>
      </c>
      <c r="N338" s="48"/>
      <c r="O338" s="412"/>
      <c r="P338" s="412"/>
      <c r="Q338" s="48"/>
      <c r="R338" s="412"/>
      <c r="S338" s="412"/>
      <c r="T338" s="48"/>
      <c r="U338" s="412"/>
      <c r="V338" s="412"/>
      <c r="W338" s="412"/>
      <c r="X338" s="412"/>
    </row>
    <row r="339" spans="2:24" ht="12.75" outlineLevel="1">
      <c r="B339" s="447" t="s">
        <v>234</v>
      </c>
      <c r="C339" s="447"/>
      <c r="D339" s="447"/>
      <c r="E339" s="53">
        <v>1253833</v>
      </c>
      <c r="F339" s="53">
        <v>0</v>
      </c>
      <c r="G339" s="47">
        <v>192192.0111647621</v>
      </c>
      <c r="H339" s="47">
        <v>34373516.81818181</v>
      </c>
      <c r="I339" s="53">
        <v>0</v>
      </c>
      <c r="J339" s="53">
        <v>976603</v>
      </c>
      <c r="K339" s="47">
        <v>28563976.666666664</v>
      </c>
      <c r="L339" s="47">
        <v>0</v>
      </c>
      <c r="M339" s="404">
        <f>SUM(E339:L339)</f>
        <v>65360121.49601324</v>
      </c>
      <c r="N339" s="48"/>
      <c r="O339" s="412"/>
      <c r="P339" s="412"/>
      <c r="Q339" s="48"/>
      <c r="R339" s="412"/>
      <c r="S339" s="412"/>
      <c r="T339" s="48"/>
      <c r="U339" s="412"/>
      <c r="V339" s="412"/>
      <c r="W339" s="412"/>
      <c r="X339" s="412"/>
    </row>
    <row r="340" spans="2:24" ht="12.75" outlineLevel="1">
      <c r="B340" s="447" t="s">
        <v>275</v>
      </c>
      <c r="C340" s="447"/>
      <c r="D340" s="447"/>
      <c r="E340" s="49"/>
      <c r="F340" s="49"/>
      <c r="G340" s="50"/>
      <c r="H340" s="50"/>
      <c r="I340" s="49"/>
      <c r="J340" s="49"/>
      <c r="K340" s="50"/>
      <c r="L340" s="50"/>
      <c r="M340" s="48"/>
      <c r="N340" s="48"/>
      <c r="O340" s="412"/>
      <c r="P340" s="412"/>
      <c r="Q340" s="48"/>
      <c r="R340" s="412"/>
      <c r="S340" s="412"/>
      <c r="T340" s="48"/>
      <c r="U340" s="412"/>
      <c r="V340" s="412"/>
      <c r="W340" s="412"/>
      <c r="X340" s="412"/>
    </row>
    <row r="341" spans="2:24" ht="12.75" outlineLevel="1">
      <c r="B341" s="448" t="s">
        <v>245</v>
      </c>
      <c r="C341" s="447"/>
      <c r="D341" s="447"/>
      <c r="E341" s="49"/>
      <c r="F341" s="49"/>
      <c r="G341" s="50"/>
      <c r="H341" s="50"/>
      <c r="I341" s="49"/>
      <c r="J341" s="49"/>
      <c r="K341" s="50"/>
      <c r="L341" s="50"/>
      <c r="M341" s="48"/>
      <c r="N341" s="48"/>
      <c r="O341" s="412"/>
      <c r="P341" s="412"/>
      <c r="Q341" s="48"/>
      <c r="R341" s="412"/>
      <c r="S341" s="412"/>
      <c r="T341" s="48"/>
      <c r="U341" s="412"/>
      <c r="V341" s="412"/>
      <c r="W341" s="412"/>
      <c r="X341" s="412"/>
    </row>
    <row r="342" spans="2:24" ht="12.75" outlineLevel="1">
      <c r="B342" s="447" t="s">
        <v>230</v>
      </c>
      <c r="C342" s="447"/>
      <c r="D342" s="447"/>
      <c r="E342" s="54">
        <v>301.3076923076923</v>
      </c>
      <c r="F342" s="53">
        <v>338.2083333333333</v>
      </c>
      <c r="G342" s="47">
        <v>0</v>
      </c>
      <c r="H342" s="47">
        <v>3530.623181818182</v>
      </c>
      <c r="I342" s="53">
        <v>5767.581412920727</v>
      </c>
      <c r="J342" s="53">
        <v>117.52</v>
      </c>
      <c r="K342" s="47">
        <v>7448.165555555556</v>
      </c>
      <c r="L342" s="47">
        <v>121.34611111111118</v>
      </c>
      <c r="M342" s="404">
        <f>SUM(E342:L342)</f>
        <v>17624.752287046602</v>
      </c>
      <c r="N342" s="48"/>
      <c r="O342" s="412"/>
      <c r="P342" s="412"/>
      <c r="Q342" s="48"/>
      <c r="R342" s="412"/>
      <c r="S342" s="412"/>
      <c r="T342" s="48"/>
      <c r="U342" s="412"/>
      <c r="V342" s="412"/>
      <c r="W342" s="412"/>
      <c r="X342" s="412"/>
    </row>
    <row r="343" spans="2:24" ht="12.75" outlineLevel="1">
      <c r="B343" s="447" t="s">
        <v>242</v>
      </c>
      <c r="C343" s="447"/>
      <c r="D343" s="447"/>
      <c r="E343" s="54">
        <v>23100</v>
      </c>
      <c r="F343" s="53">
        <v>16951.27789505424</v>
      </c>
      <c r="G343" s="47">
        <v>0</v>
      </c>
      <c r="H343" s="47">
        <v>93706.12476996687</v>
      </c>
      <c r="I343" s="53">
        <v>254796.22039568264</v>
      </c>
      <c r="J343" s="53">
        <v>7350</v>
      </c>
      <c r="K343" s="47">
        <v>587067.4649122808</v>
      </c>
      <c r="L343" s="47">
        <v>7643.769841269839</v>
      </c>
      <c r="M343" s="404">
        <f>SUM(E343:L343)</f>
        <v>990614.8578142544</v>
      </c>
      <c r="N343" s="48"/>
      <c r="O343" s="412"/>
      <c r="P343" s="412"/>
      <c r="Q343" s="48"/>
      <c r="R343" s="412"/>
      <c r="S343" s="412"/>
      <c r="T343" s="48"/>
      <c r="U343" s="412"/>
      <c r="V343" s="412"/>
      <c r="W343" s="412"/>
      <c r="X343" s="412"/>
    </row>
    <row r="344" spans="2:24" ht="12.75" outlineLevel="1">
      <c r="B344" s="447" t="s">
        <v>246</v>
      </c>
      <c r="C344" s="447"/>
      <c r="D344" s="447"/>
      <c r="E344" s="54">
        <v>15377437</v>
      </c>
      <c r="F344" s="53">
        <v>8318513.396715645</v>
      </c>
      <c r="G344" s="47">
        <v>0</v>
      </c>
      <c r="H344" s="47">
        <v>64228073.426573426</v>
      </c>
      <c r="I344" s="53">
        <v>162275607.8355684</v>
      </c>
      <c r="J344" s="53">
        <v>5951307</v>
      </c>
      <c r="K344" s="47">
        <v>398789120.0000002</v>
      </c>
      <c r="L344" s="47">
        <v>6686376.023391812</v>
      </c>
      <c r="M344" s="404">
        <f>SUM(E344:L344)</f>
        <v>661626434.6822494</v>
      </c>
      <c r="N344" s="48"/>
      <c r="O344" s="412"/>
      <c r="P344" s="412"/>
      <c r="Q344" s="48"/>
      <c r="R344" s="412"/>
      <c r="S344" s="412"/>
      <c r="T344" s="48"/>
      <c r="U344" s="412"/>
      <c r="V344" s="412"/>
      <c r="W344" s="412"/>
      <c r="X344" s="412"/>
    </row>
    <row r="345" spans="2:24" ht="12.75" outlineLevel="1">
      <c r="B345" s="447" t="s">
        <v>233</v>
      </c>
      <c r="C345" s="447"/>
      <c r="D345" s="447"/>
      <c r="E345" s="54">
        <v>30717530</v>
      </c>
      <c r="F345" s="53">
        <v>11263656.37507147</v>
      </c>
      <c r="G345" s="47">
        <v>0</v>
      </c>
      <c r="H345" s="47">
        <v>97542445.39373669</v>
      </c>
      <c r="I345" s="53">
        <v>251724931.48647943</v>
      </c>
      <c r="J345" s="53">
        <v>11540210</v>
      </c>
      <c r="K345" s="47">
        <v>615469290.0000001</v>
      </c>
      <c r="L345" s="47">
        <v>9235995.307917891</v>
      </c>
      <c r="M345" s="404">
        <f>SUM(E345:L345)</f>
        <v>1027494058.5632055</v>
      </c>
      <c r="N345" s="48"/>
      <c r="O345" s="412"/>
      <c r="P345" s="412"/>
      <c r="Q345" s="48"/>
      <c r="R345" s="412"/>
      <c r="S345" s="412"/>
      <c r="T345" s="48"/>
      <c r="U345" s="412"/>
      <c r="V345" s="412"/>
      <c r="W345" s="412"/>
      <c r="X345" s="412"/>
    </row>
    <row r="346" spans="2:24" ht="12.75" outlineLevel="1">
      <c r="B346" s="447" t="s">
        <v>234</v>
      </c>
      <c r="C346" s="447"/>
      <c r="D346" s="447"/>
      <c r="E346" s="54">
        <v>855946</v>
      </c>
      <c r="F346" s="53">
        <v>0</v>
      </c>
      <c r="G346" s="47">
        <v>0</v>
      </c>
      <c r="H346" s="47">
        <v>4025</v>
      </c>
      <c r="I346" s="53">
        <v>0</v>
      </c>
      <c r="J346" s="53">
        <v>264028</v>
      </c>
      <c r="K346" s="47">
        <v>4001311.6666666665</v>
      </c>
      <c r="L346" s="47">
        <v>0</v>
      </c>
      <c r="M346" s="404">
        <f>SUM(E346:L346)</f>
        <v>5125310.666666666</v>
      </c>
      <c r="N346" s="48"/>
      <c r="O346" s="412"/>
      <c r="P346" s="412"/>
      <c r="Q346" s="48"/>
      <c r="R346" s="412"/>
      <c r="S346" s="412"/>
      <c r="T346" s="48"/>
      <c r="U346" s="412"/>
      <c r="V346" s="412"/>
      <c r="W346" s="412"/>
      <c r="X346" s="412"/>
    </row>
    <row r="347" spans="2:24" ht="12.75" outlineLevel="1">
      <c r="B347" s="447" t="s">
        <v>275</v>
      </c>
      <c r="C347" s="447"/>
      <c r="D347" s="447"/>
      <c r="E347" s="49"/>
      <c r="F347" s="49"/>
      <c r="G347" s="50"/>
      <c r="H347" s="50"/>
      <c r="I347" s="49"/>
      <c r="J347" s="49"/>
      <c r="K347" s="50"/>
      <c r="L347" s="50"/>
      <c r="M347" s="48"/>
      <c r="N347" s="48"/>
      <c r="O347" s="412"/>
      <c r="P347" s="412"/>
      <c r="Q347" s="48"/>
      <c r="R347" s="412"/>
      <c r="S347" s="412"/>
      <c r="T347" s="48"/>
      <c r="U347" s="412"/>
      <c r="V347" s="412"/>
      <c r="W347" s="412"/>
      <c r="X347" s="412"/>
    </row>
    <row r="348" spans="2:24" ht="12.75" outlineLevel="1">
      <c r="B348" s="448" t="s">
        <v>247</v>
      </c>
      <c r="C348" s="454"/>
      <c r="D348" s="454"/>
      <c r="E348" s="49"/>
      <c r="F348" s="49"/>
      <c r="G348" s="50"/>
      <c r="H348" s="50"/>
      <c r="I348" s="49"/>
      <c r="J348" s="49"/>
      <c r="K348" s="50"/>
      <c r="L348" s="50"/>
      <c r="M348" s="48"/>
      <c r="N348" s="48"/>
      <c r="O348" s="412"/>
      <c r="P348" s="412"/>
      <c r="Q348" s="48"/>
      <c r="R348" s="412"/>
      <c r="S348" s="412"/>
      <c r="T348" s="48"/>
      <c r="U348" s="412"/>
      <c r="V348" s="412"/>
      <c r="W348" s="412"/>
      <c r="X348" s="412"/>
    </row>
    <row r="349" spans="2:24" ht="12.75" outlineLevel="1">
      <c r="B349" s="447" t="s">
        <v>230</v>
      </c>
      <c r="C349" s="454"/>
      <c r="D349" s="454"/>
      <c r="E349" s="54">
        <v>1143</v>
      </c>
      <c r="F349" s="53">
        <v>5782.666666666667</v>
      </c>
      <c r="G349" s="47">
        <v>847.8935778973796</v>
      </c>
      <c r="H349" s="47">
        <v>46621</v>
      </c>
      <c r="I349" s="47">
        <v>67423.15491628615</v>
      </c>
      <c r="J349" s="53">
        <v>1154.1</v>
      </c>
      <c r="K349" s="47">
        <v>66117.93333333333</v>
      </c>
      <c r="L349" s="47">
        <v>4342.649991103722</v>
      </c>
      <c r="M349" s="404">
        <f>SUM(E349:L349)</f>
        <v>193432.39848528724</v>
      </c>
      <c r="N349" s="48"/>
      <c r="O349" s="412"/>
      <c r="P349" s="412"/>
      <c r="Q349" s="48"/>
      <c r="R349" s="412"/>
      <c r="S349" s="412"/>
      <c r="T349" s="48"/>
      <c r="U349" s="412"/>
      <c r="V349" s="412"/>
      <c r="W349" s="412"/>
      <c r="X349" s="412"/>
    </row>
    <row r="350" spans="2:24" ht="12.75" outlineLevel="1">
      <c r="B350" s="551" t="s">
        <v>242</v>
      </c>
      <c r="C350" s="454"/>
      <c r="D350" s="454"/>
      <c r="E350" s="61">
        <v>14045</v>
      </c>
      <c r="F350" s="60">
        <v>135995.8333333333</v>
      </c>
      <c r="G350" s="58">
        <v>23691.571742109834</v>
      </c>
      <c r="H350" s="58">
        <v>2455153.2640248067</v>
      </c>
      <c r="I350" s="58">
        <v>2218740.6761415526</v>
      </c>
      <c r="J350" s="60">
        <v>14539.5</v>
      </c>
      <c r="K350" s="58">
        <v>1897735.9714912297</v>
      </c>
      <c r="L350" s="58">
        <v>131622.8666666667</v>
      </c>
      <c r="M350" s="402">
        <f>SUM(E350:L350)</f>
        <v>6891524.683399698</v>
      </c>
      <c r="N350" s="48"/>
      <c r="O350" s="412"/>
      <c r="P350" s="412"/>
      <c r="Q350" s="48"/>
      <c r="R350" s="412"/>
      <c r="S350" s="412"/>
      <c r="T350" s="48"/>
      <c r="U350" s="412"/>
      <c r="V350" s="412"/>
      <c r="W350" s="412"/>
      <c r="X350" s="412"/>
    </row>
    <row r="351" spans="2:24" ht="12.75" outlineLevel="1">
      <c r="B351" s="551" t="s">
        <v>246</v>
      </c>
      <c r="C351" s="454"/>
      <c r="D351" s="454"/>
      <c r="E351" s="61">
        <v>13825240</v>
      </c>
      <c r="F351" s="60">
        <v>86039763.89843757</v>
      </c>
      <c r="G351" s="58">
        <v>13674972.110320965</v>
      </c>
      <c r="H351" s="58">
        <v>1195350661.0002005</v>
      </c>
      <c r="I351" s="58">
        <v>961142792.4346151</v>
      </c>
      <c r="J351" s="60">
        <v>11208697</v>
      </c>
      <c r="K351" s="58">
        <v>697666938.918919</v>
      </c>
      <c r="L351" s="58">
        <v>54223282.460330725</v>
      </c>
      <c r="M351" s="402">
        <f>SUM(E351:L351)</f>
        <v>3033132347.8228235</v>
      </c>
      <c r="N351" s="48"/>
      <c r="O351" s="412"/>
      <c r="P351" s="412"/>
      <c r="Q351" s="48"/>
      <c r="R351" s="412"/>
      <c r="S351" s="412"/>
      <c r="T351" s="48"/>
      <c r="U351" s="412"/>
      <c r="V351" s="412"/>
      <c r="W351" s="412"/>
      <c r="X351" s="412"/>
    </row>
    <row r="352" spans="2:24" ht="12.75" outlineLevel="1">
      <c r="B352" s="551" t="s">
        <v>233</v>
      </c>
      <c r="C352" s="454"/>
      <c r="D352" s="454"/>
      <c r="E352" s="61">
        <v>23834077</v>
      </c>
      <c r="F352" s="60">
        <v>107201426.37223403</v>
      </c>
      <c r="G352" s="58">
        <v>13533074.108282179</v>
      </c>
      <c r="H352" s="58">
        <v>1385592132.434307</v>
      </c>
      <c r="I352" s="58">
        <v>1261510559.0211368</v>
      </c>
      <c r="J352" s="60">
        <v>23547828</v>
      </c>
      <c r="K352" s="58">
        <v>1023324235.6756761</v>
      </c>
      <c r="L352" s="58">
        <v>74569875.72381811</v>
      </c>
      <c r="M352" s="402">
        <f>SUM(E352:L352)</f>
        <v>3913113208.3354545</v>
      </c>
      <c r="N352" s="48"/>
      <c r="O352" s="412"/>
      <c r="P352" s="412"/>
      <c r="Q352" s="48"/>
      <c r="R352" s="412"/>
      <c r="S352" s="412"/>
      <c r="T352" s="48"/>
      <c r="U352" s="412"/>
      <c r="V352" s="412"/>
      <c r="W352" s="412"/>
      <c r="X352" s="412"/>
    </row>
    <row r="353" spans="2:24" ht="12.75" outlineLevel="1">
      <c r="B353" s="447" t="s">
        <v>275</v>
      </c>
      <c r="C353" s="454"/>
      <c r="D353" s="454"/>
      <c r="E353" s="49"/>
      <c r="F353" s="49"/>
      <c r="G353" s="50"/>
      <c r="H353" s="50"/>
      <c r="I353" s="50"/>
      <c r="J353" s="49"/>
      <c r="K353" s="50"/>
      <c r="L353" s="50"/>
      <c r="M353" s="48"/>
      <c r="N353" s="48"/>
      <c r="O353" s="412"/>
      <c r="P353" s="412"/>
      <c r="Q353" s="48"/>
      <c r="R353" s="412"/>
      <c r="S353" s="412"/>
      <c r="T353" s="48"/>
      <c r="U353" s="412"/>
      <c r="V353" s="412"/>
      <c r="W353" s="412"/>
      <c r="X353" s="412"/>
    </row>
    <row r="354" spans="2:24" ht="12.75" outlineLevel="1">
      <c r="B354" s="448" t="s">
        <v>248</v>
      </c>
      <c r="C354" s="454"/>
      <c r="D354" s="454"/>
      <c r="E354" s="49"/>
      <c r="F354" s="49"/>
      <c r="G354" s="50"/>
      <c r="H354" s="50"/>
      <c r="I354" s="50"/>
      <c r="J354" s="49"/>
      <c r="K354" s="50"/>
      <c r="L354" s="50"/>
      <c r="M354" s="48"/>
      <c r="N354" s="48"/>
      <c r="O354" s="412"/>
      <c r="P354" s="412"/>
      <c r="Q354" s="48"/>
      <c r="R354" s="412"/>
      <c r="S354" s="412"/>
      <c r="T354" s="48"/>
      <c r="U354" s="412"/>
      <c r="V354" s="412"/>
      <c r="W354" s="412"/>
      <c r="X354" s="412"/>
    </row>
    <row r="355" spans="2:24" ht="12.75" outlineLevel="1">
      <c r="B355" s="447" t="s">
        <v>230</v>
      </c>
      <c r="C355" s="454"/>
      <c r="D355" s="454"/>
      <c r="E355" s="53">
        <v>495</v>
      </c>
      <c r="F355" s="53">
        <v>2422.3333333333335</v>
      </c>
      <c r="G355" s="47">
        <v>2619.9210860587264</v>
      </c>
      <c r="H355" s="47">
        <v>21145</v>
      </c>
      <c r="I355" s="47">
        <v>48458.57121004566</v>
      </c>
      <c r="J355" s="53">
        <v>0</v>
      </c>
      <c r="K355" s="47">
        <v>10094.281666666668</v>
      </c>
      <c r="L355" s="47">
        <v>0</v>
      </c>
      <c r="M355" s="404">
        <f>SUM(E355:L355)</f>
        <v>85235.10729610438</v>
      </c>
      <c r="N355" s="48"/>
      <c r="O355" s="412"/>
      <c r="P355" s="412"/>
      <c r="Q355" s="48"/>
      <c r="R355" s="412"/>
      <c r="S355" s="412"/>
      <c r="T355" s="48"/>
      <c r="U355" s="412"/>
      <c r="V355" s="412"/>
      <c r="W355" s="412"/>
      <c r="X355" s="412"/>
    </row>
    <row r="356" spans="2:24" ht="12.75" outlineLevel="1">
      <c r="B356" s="551" t="s">
        <v>242</v>
      </c>
      <c r="C356" s="454"/>
      <c r="D356" s="454"/>
      <c r="E356" s="60">
        <v>6064</v>
      </c>
      <c r="F356" s="60">
        <v>52277.083333333336</v>
      </c>
      <c r="G356" s="58">
        <v>87088.22283588152</v>
      </c>
      <c r="H356" s="58">
        <v>1115765.359900376</v>
      </c>
      <c r="I356" s="58">
        <v>1634630.9134112273</v>
      </c>
      <c r="J356" s="60">
        <v>0</v>
      </c>
      <c r="K356" s="58">
        <v>287788.63157894736</v>
      </c>
      <c r="L356" s="58">
        <v>0</v>
      </c>
      <c r="M356" s="402">
        <f>SUM(E356:L356)</f>
        <v>3183614.211059766</v>
      </c>
      <c r="N356" s="48"/>
      <c r="O356" s="412"/>
      <c r="P356" s="412"/>
      <c r="Q356" s="48"/>
      <c r="R356" s="412"/>
      <c r="S356" s="412"/>
      <c r="T356" s="48"/>
      <c r="U356" s="412"/>
      <c r="V356" s="412"/>
      <c r="W356" s="412"/>
      <c r="X356" s="412"/>
    </row>
    <row r="357" spans="2:24" ht="12.75" outlineLevel="1">
      <c r="B357" s="551" t="s">
        <v>249</v>
      </c>
      <c r="C357" s="454"/>
      <c r="D357" s="454"/>
      <c r="E357" s="60">
        <v>12402867</v>
      </c>
      <c r="F357" s="60">
        <v>42418757.79980905</v>
      </c>
      <c r="G357" s="58">
        <v>68438810.2918538</v>
      </c>
      <c r="H357" s="58">
        <v>885857073.860345</v>
      </c>
      <c r="I357" s="58">
        <v>1074349037.4885304</v>
      </c>
      <c r="J357" s="60">
        <v>0</v>
      </c>
      <c r="K357" s="58">
        <v>199666897.2972974</v>
      </c>
      <c r="L357" s="58">
        <v>0</v>
      </c>
      <c r="M357" s="402">
        <f>SUM(E357:L357)</f>
        <v>2283133443.737836</v>
      </c>
      <c r="N357" s="48"/>
      <c r="O357" s="412"/>
      <c r="P357" s="412"/>
      <c r="Q357" s="48"/>
      <c r="R357" s="412"/>
      <c r="S357" s="412"/>
      <c r="T357" s="48"/>
      <c r="U357" s="412"/>
      <c r="V357" s="412"/>
      <c r="W357" s="412"/>
      <c r="X357" s="412"/>
    </row>
    <row r="358" spans="2:24" ht="12.75" outlineLevel="1">
      <c r="B358" s="447" t="s">
        <v>275</v>
      </c>
      <c r="C358" s="454"/>
      <c r="D358" s="454"/>
      <c r="E358" s="49"/>
      <c r="F358" s="49"/>
      <c r="G358" s="50"/>
      <c r="H358" s="50"/>
      <c r="I358" s="50"/>
      <c r="J358" s="49"/>
      <c r="K358" s="50"/>
      <c r="L358" s="50"/>
      <c r="M358" s="48"/>
      <c r="N358" s="48"/>
      <c r="O358" s="412"/>
      <c r="P358" s="412"/>
      <c r="Q358" s="48"/>
      <c r="R358" s="412"/>
      <c r="S358" s="412"/>
      <c r="T358" s="48"/>
      <c r="U358" s="412"/>
      <c r="V358" s="412"/>
      <c r="W358" s="412"/>
      <c r="X358" s="412"/>
    </row>
    <row r="359" spans="2:24" ht="12.75" outlineLevel="1">
      <c r="B359" s="448" t="s">
        <v>250</v>
      </c>
      <c r="C359" s="454"/>
      <c r="D359" s="454"/>
      <c r="E359" s="49"/>
      <c r="F359" s="49"/>
      <c r="G359" s="50"/>
      <c r="H359" s="50"/>
      <c r="I359" s="50"/>
      <c r="J359" s="49"/>
      <c r="K359" s="50"/>
      <c r="L359" s="50"/>
      <c r="M359" s="48"/>
      <c r="N359" s="48"/>
      <c r="O359" s="412"/>
      <c r="P359" s="412"/>
      <c r="Q359" s="48"/>
      <c r="R359" s="412"/>
      <c r="S359" s="412"/>
      <c r="T359" s="48"/>
      <c r="U359" s="412"/>
      <c r="V359" s="412"/>
      <c r="W359" s="412"/>
      <c r="X359" s="412"/>
    </row>
    <row r="360" spans="2:24" ht="12.75" outlineLevel="1">
      <c r="B360" s="447" t="s">
        <v>230</v>
      </c>
      <c r="C360" s="454"/>
      <c r="D360" s="454"/>
      <c r="E360" s="53">
        <v>31424</v>
      </c>
      <c r="F360" s="53">
        <v>74148</v>
      </c>
      <c r="G360" s="47">
        <v>7501.455669925997</v>
      </c>
      <c r="H360" s="54">
        <v>1102121</v>
      </c>
      <c r="I360" s="54">
        <v>747884.6561263318</v>
      </c>
      <c r="J360" s="53">
        <v>18560.3</v>
      </c>
      <c r="K360" s="47">
        <v>1317004.7349999994</v>
      </c>
      <c r="L360" s="47">
        <v>40675.469078579576</v>
      </c>
      <c r="M360" s="404">
        <f>SUM(E360:L360)</f>
        <v>3339319.6158748367</v>
      </c>
      <c r="N360" s="48"/>
      <c r="O360" s="412"/>
      <c r="P360" s="412"/>
      <c r="Q360" s="48"/>
      <c r="R360" s="412"/>
      <c r="S360" s="412"/>
      <c r="T360" s="48"/>
      <c r="U360" s="412"/>
      <c r="V360" s="412"/>
      <c r="W360" s="412"/>
      <c r="X360" s="412"/>
    </row>
    <row r="361" spans="2:24" ht="12.75" outlineLevel="1">
      <c r="B361" s="551" t="s">
        <v>246</v>
      </c>
      <c r="C361" s="454"/>
      <c r="D361" s="454"/>
      <c r="E361" s="60">
        <v>61673634</v>
      </c>
      <c r="F361" s="60">
        <v>169056054.63602152</v>
      </c>
      <c r="G361" s="58">
        <v>23555550.786592994</v>
      </c>
      <c r="H361" s="61">
        <v>2609920072.5378513</v>
      </c>
      <c r="I361" s="61">
        <v>2000989358.4480526</v>
      </c>
      <c r="J361" s="60">
        <v>34099169</v>
      </c>
      <c r="K361" s="58">
        <v>2449670997.727273</v>
      </c>
      <c r="L361" s="58">
        <v>76086583.03266703</v>
      </c>
      <c r="M361" s="402">
        <f>SUM(E361:L361)</f>
        <v>7425051420.168459</v>
      </c>
      <c r="N361" s="48"/>
      <c r="O361" s="412"/>
      <c r="P361" s="412"/>
      <c r="Q361" s="48"/>
      <c r="R361" s="412"/>
      <c r="S361" s="412"/>
      <c r="T361" s="48"/>
      <c r="U361" s="412"/>
      <c r="V361" s="412"/>
      <c r="W361" s="412"/>
      <c r="X361" s="412"/>
    </row>
    <row r="362" spans="2:24" ht="12.75" outlineLevel="1">
      <c r="B362" s="551" t="s">
        <v>233</v>
      </c>
      <c r="C362" s="454"/>
      <c r="D362" s="454"/>
      <c r="E362" s="60">
        <v>64385672</v>
      </c>
      <c r="F362" s="60">
        <v>169469738.92296875</v>
      </c>
      <c r="G362" s="58">
        <v>16628993.773827842</v>
      </c>
      <c r="H362" s="61">
        <v>2293982212.1699924</v>
      </c>
      <c r="I362" s="61">
        <v>1931534843.9919121</v>
      </c>
      <c r="J362" s="60">
        <v>40546386</v>
      </c>
      <c r="K362" s="58">
        <v>2476861659.753085</v>
      </c>
      <c r="L362" s="58">
        <v>93913143.1881963</v>
      </c>
      <c r="M362" s="402">
        <f>SUM(E362:L362)</f>
        <v>7087322649.799982</v>
      </c>
      <c r="N362" s="48"/>
      <c r="O362" s="412"/>
      <c r="P362" s="412"/>
      <c r="Q362" s="48"/>
      <c r="R362" s="412"/>
      <c r="S362" s="412"/>
      <c r="T362" s="48"/>
      <c r="U362" s="412"/>
      <c r="V362" s="412"/>
      <c r="W362" s="412"/>
      <c r="X362" s="412"/>
    </row>
    <row r="363" spans="2:24" ht="12.75" outlineLevel="1">
      <c r="B363" s="447" t="s">
        <v>275</v>
      </c>
      <c r="C363" s="454"/>
      <c r="D363" s="454"/>
      <c r="E363" s="52"/>
      <c r="F363" s="52"/>
      <c r="G363" s="50"/>
      <c r="H363" s="50"/>
      <c r="I363" s="50"/>
      <c r="J363" s="52"/>
      <c r="K363" s="50"/>
      <c r="L363" s="50"/>
      <c r="M363" s="48"/>
      <c r="N363" s="48"/>
      <c r="O363" s="412"/>
      <c r="P363" s="412"/>
      <c r="Q363" s="48"/>
      <c r="R363" s="412"/>
      <c r="S363" s="412"/>
      <c r="T363" s="48"/>
      <c r="U363" s="412"/>
      <c r="V363" s="412"/>
      <c r="W363" s="412"/>
      <c r="X363" s="412"/>
    </row>
    <row r="364" spans="2:24" ht="12.75" outlineLevel="1">
      <c r="B364" s="448" t="s">
        <v>251</v>
      </c>
      <c r="C364" s="454"/>
      <c r="D364" s="454"/>
      <c r="E364" s="49"/>
      <c r="F364" s="49"/>
      <c r="G364" s="50"/>
      <c r="H364" s="50"/>
      <c r="I364" s="50"/>
      <c r="J364" s="49"/>
      <c r="K364" s="50"/>
      <c r="L364" s="50"/>
      <c r="M364" s="48"/>
      <c r="N364" s="48"/>
      <c r="O364" s="412"/>
      <c r="P364" s="412"/>
      <c r="Q364" s="48"/>
      <c r="R364" s="412"/>
      <c r="S364" s="412"/>
      <c r="T364" s="48"/>
      <c r="U364" s="412"/>
      <c r="V364" s="412"/>
      <c r="W364" s="412"/>
      <c r="X364" s="412"/>
    </row>
    <row r="365" spans="2:24" ht="12.75" outlineLevel="1">
      <c r="B365" s="447" t="s">
        <v>230</v>
      </c>
      <c r="C365" s="454"/>
      <c r="D365" s="454"/>
      <c r="E365" s="53">
        <v>18390</v>
      </c>
      <c r="F365" s="53">
        <v>117251.58333333334</v>
      </c>
      <c r="G365" s="47">
        <v>90396.51666238013</v>
      </c>
      <c r="H365" s="47">
        <v>1337572</v>
      </c>
      <c r="I365" s="47">
        <v>1933351.8148173492</v>
      </c>
      <c r="J365" s="53">
        <v>10723.8</v>
      </c>
      <c r="K365" s="47">
        <v>528846.4755555555</v>
      </c>
      <c r="L365" s="47">
        <v>6171.923152538919</v>
      </c>
      <c r="M365" s="404">
        <f>SUM(E365:L365)</f>
        <v>4042704.113521157</v>
      </c>
      <c r="N365" s="48"/>
      <c r="O365" s="412"/>
      <c r="P365" s="412"/>
      <c r="Q365" s="48"/>
      <c r="R365" s="412"/>
      <c r="S365" s="412"/>
      <c r="T365" s="48"/>
      <c r="U365" s="412"/>
      <c r="V365" s="412"/>
      <c r="W365" s="412"/>
      <c r="X365" s="412"/>
    </row>
    <row r="366" spans="2:24" ht="12.75" outlineLevel="1">
      <c r="B366" s="551" t="s">
        <v>249</v>
      </c>
      <c r="C366" s="454"/>
      <c r="D366" s="454"/>
      <c r="E366" s="60">
        <v>51309306</v>
      </c>
      <c r="F366" s="60">
        <v>319684654.9631323</v>
      </c>
      <c r="G366" s="58">
        <v>302610332.39034045</v>
      </c>
      <c r="H366" s="58">
        <v>4362846128.734176</v>
      </c>
      <c r="I366" s="58">
        <v>6018445122.755042</v>
      </c>
      <c r="J366" s="60">
        <v>28897207</v>
      </c>
      <c r="K366" s="58">
        <v>1347147876.7901223</v>
      </c>
      <c r="L366" s="58">
        <v>15278512.52290185</v>
      </c>
      <c r="M366" s="402">
        <f>SUM(E366:L366)</f>
        <v>12446219141.155714</v>
      </c>
      <c r="N366" s="48"/>
      <c r="O366" s="412"/>
      <c r="P366" s="412"/>
      <c r="Q366" s="48"/>
      <c r="R366" s="412"/>
      <c r="S366" s="412"/>
      <c r="T366" s="48"/>
      <c r="U366" s="412"/>
      <c r="V366" s="412"/>
      <c r="W366" s="412"/>
      <c r="X366" s="412"/>
    </row>
    <row r="367" spans="2:24" ht="12.75" outlineLevel="1">
      <c r="B367" s="447" t="s">
        <v>275</v>
      </c>
      <c r="C367" s="454"/>
      <c r="D367" s="454"/>
      <c r="E367" s="55"/>
      <c r="F367" s="55"/>
      <c r="G367" s="50"/>
      <c r="H367" s="50"/>
      <c r="I367" s="50"/>
      <c r="J367" s="55"/>
      <c r="K367" s="50"/>
      <c r="L367" s="50"/>
      <c r="M367" s="48"/>
      <c r="N367" s="48"/>
      <c r="O367" s="412"/>
      <c r="P367" s="412"/>
      <c r="Q367" s="48"/>
      <c r="R367" s="412"/>
      <c r="S367" s="412"/>
      <c r="T367" s="48"/>
      <c r="U367" s="412"/>
      <c r="V367" s="412"/>
      <c r="W367" s="412"/>
      <c r="X367" s="412"/>
    </row>
    <row r="368" spans="2:24" ht="12.75" outlineLevel="1">
      <c r="B368" s="448" t="s">
        <v>257</v>
      </c>
      <c r="C368" s="454"/>
      <c r="D368" s="454"/>
      <c r="E368" s="55"/>
      <c r="F368" s="55"/>
      <c r="G368" s="50"/>
      <c r="H368" s="50"/>
      <c r="I368" s="50"/>
      <c r="J368" s="55"/>
      <c r="K368" s="50"/>
      <c r="L368" s="50"/>
      <c r="M368" s="48"/>
      <c r="N368" s="48"/>
      <c r="O368" s="412"/>
      <c r="P368" s="412"/>
      <c r="Q368" s="48"/>
      <c r="R368" s="412"/>
      <c r="S368" s="412"/>
      <c r="T368" s="48"/>
      <c r="U368" s="412"/>
      <c r="V368" s="412"/>
      <c r="W368" s="412"/>
      <c r="X368" s="412"/>
    </row>
    <row r="369" spans="2:24" ht="12.75" outlineLevel="1">
      <c r="B369" s="447" t="s">
        <v>230</v>
      </c>
      <c r="C369" s="454"/>
      <c r="D369" s="454"/>
      <c r="E369" s="53">
        <v>22222</v>
      </c>
      <c r="F369" s="53">
        <v>84308.62962962962</v>
      </c>
      <c r="G369" s="47">
        <v>43726.64362609061</v>
      </c>
      <c r="H369" s="47">
        <v>1059984.7087542086</v>
      </c>
      <c r="I369" s="47">
        <v>724252.1296296297</v>
      </c>
      <c r="J369" s="53">
        <v>17798</v>
      </c>
      <c r="K369" s="47">
        <v>583716.4259259258</v>
      </c>
      <c r="L369" s="47">
        <v>23983.11111111111</v>
      </c>
      <c r="M369" s="404">
        <f>SUM(E369:L369)</f>
        <v>2559991.6486765957</v>
      </c>
      <c r="N369" s="48"/>
      <c r="O369" s="412"/>
      <c r="P369" s="412"/>
      <c r="Q369" s="48"/>
      <c r="R369" s="412"/>
      <c r="S369" s="412"/>
      <c r="T369" s="48"/>
      <c r="U369" s="412"/>
      <c r="V369" s="412"/>
      <c r="W369" s="412"/>
      <c r="X369" s="412"/>
    </row>
    <row r="370" spans="2:24" ht="12.75" outlineLevel="1">
      <c r="B370" s="551" t="s">
        <v>246</v>
      </c>
      <c r="C370" s="454"/>
      <c r="D370" s="454"/>
      <c r="E370" s="60">
        <v>3242245</v>
      </c>
      <c r="F370" s="60">
        <v>15619402.820777431</v>
      </c>
      <c r="G370" s="58">
        <v>9578691.546638532</v>
      </c>
      <c r="H370" s="58">
        <v>86862135.33169535</v>
      </c>
      <c r="I370" s="58">
        <v>108942208.9578188</v>
      </c>
      <c r="J370" s="60">
        <v>2460276</v>
      </c>
      <c r="K370" s="58">
        <v>115878613.03462324</v>
      </c>
      <c r="L370" s="58">
        <v>4749139</v>
      </c>
      <c r="M370" s="402">
        <f>SUM(E370:L370)</f>
        <v>347332711.69155335</v>
      </c>
      <c r="N370" s="48"/>
      <c r="O370" s="412"/>
      <c r="P370" s="412"/>
      <c r="Q370" s="48"/>
      <c r="R370" s="412"/>
      <c r="S370" s="412"/>
      <c r="T370" s="48"/>
      <c r="U370" s="412"/>
      <c r="V370" s="412"/>
      <c r="W370" s="412"/>
      <c r="X370" s="412"/>
    </row>
    <row r="371" spans="2:24" ht="12.75" outlineLevel="1">
      <c r="B371" s="551" t="s">
        <v>233</v>
      </c>
      <c r="C371" s="454"/>
      <c r="D371" s="454"/>
      <c r="E371" s="59">
        <v>1407398</v>
      </c>
      <c r="F371" s="59">
        <v>0</v>
      </c>
      <c r="G371" s="58">
        <v>4065614.0478630834</v>
      </c>
      <c r="H371" s="58">
        <v>89875066.76767679</v>
      </c>
      <c r="I371" s="58">
        <v>20859764.280641217</v>
      </c>
      <c r="J371" s="60">
        <v>813058</v>
      </c>
      <c r="K371" s="58">
        <v>35859694.02202412</v>
      </c>
      <c r="L371" s="58">
        <v>1825735.1620947632</v>
      </c>
      <c r="M371" s="402">
        <f>SUM(E371:L371)</f>
        <v>154706330.28029996</v>
      </c>
      <c r="N371" s="48"/>
      <c r="O371" s="412"/>
      <c r="P371" s="412"/>
      <c r="Q371" s="48"/>
      <c r="R371" s="412"/>
      <c r="S371" s="412"/>
      <c r="T371" s="48"/>
      <c r="U371" s="412"/>
      <c r="V371" s="412"/>
      <c r="W371" s="412"/>
      <c r="X371" s="412"/>
    </row>
    <row r="372" spans="2:24" ht="12.75" outlineLevel="1">
      <c r="B372" s="454"/>
      <c r="C372" s="454"/>
      <c r="D372" s="454"/>
      <c r="E372" s="49"/>
      <c r="F372" s="49"/>
      <c r="G372" s="50"/>
      <c r="H372" s="50"/>
      <c r="I372" s="55"/>
      <c r="J372" s="55"/>
      <c r="K372" s="50"/>
      <c r="L372" s="50"/>
      <c r="M372" s="48"/>
      <c r="N372" s="48"/>
      <c r="O372" s="412"/>
      <c r="P372" s="412"/>
      <c r="Q372" s="48"/>
      <c r="R372" s="412"/>
      <c r="S372" s="412"/>
      <c r="T372" s="48"/>
      <c r="U372" s="412"/>
      <c r="V372" s="412"/>
      <c r="W372" s="412"/>
      <c r="X372" s="412"/>
    </row>
    <row r="373" spans="2:24" ht="12.75" outlineLevel="1">
      <c r="B373" s="448" t="s">
        <v>263</v>
      </c>
      <c r="C373" s="471"/>
      <c r="D373" s="471"/>
      <c r="E373" s="49"/>
      <c r="F373" s="49"/>
      <c r="G373" s="50"/>
      <c r="H373" s="50"/>
      <c r="I373" s="55"/>
      <c r="J373" s="55"/>
      <c r="K373" s="50"/>
      <c r="L373" s="50"/>
      <c r="M373" s="48"/>
      <c r="N373" s="48"/>
      <c r="O373" s="412"/>
      <c r="P373" s="412"/>
      <c r="Q373" s="48"/>
      <c r="R373" s="412"/>
      <c r="S373" s="412"/>
      <c r="T373" s="48"/>
      <c r="U373" s="412"/>
      <c r="V373" s="412"/>
      <c r="W373" s="412"/>
      <c r="X373" s="412"/>
    </row>
    <row r="374" spans="2:24" ht="12.75" outlineLevel="1">
      <c r="B374" s="447" t="s">
        <v>264</v>
      </c>
      <c r="C374" s="472"/>
      <c r="D374" s="472"/>
      <c r="E374" s="419">
        <f>E369</f>
        <v>22222</v>
      </c>
      <c r="F374" s="419">
        <f aca="true" t="shared" si="78" ref="F374:L374">F369</f>
        <v>84308.62962962962</v>
      </c>
      <c r="G374" s="419">
        <f>G369</f>
        <v>43726.64362609061</v>
      </c>
      <c r="H374" s="419">
        <f t="shared" si="78"/>
        <v>1059984.7087542086</v>
      </c>
      <c r="I374" s="419">
        <f t="shared" si="78"/>
        <v>724252.1296296297</v>
      </c>
      <c r="J374" s="419">
        <f t="shared" si="78"/>
        <v>17798</v>
      </c>
      <c r="K374" s="419">
        <f>K369</f>
        <v>583716.4259259258</v>
      </c>
      <c r="L374" s="419">
        <f t="shared" si="78"/>
        <v>23983.11111111111</v>
      </c>
      <c r="M374" s="404">
        <f>SUM(E374:L374)</f>
        <v>2559991.6486765957</v>
      </c>
      <c r="N374" s="55"/>
      <c r="O374" s="415"/>
      <c r="P374" s="415"/>
      <c r="Q374" s="55"/>
      <c r="R374" s="415"/>
      <c r="S374" s="415"/>
      <c r="T374" s="55"/>
      <c r="U374" s="415"/>
      <c r="V374" s="415"/>
      <c r="W374" s="415"/>
      <c r="X374" s="415"/>
    </row>
    <row r="375" spans="2:24" ht="12.75" outlineLevel="1">
      <c r="B375" s="447" t="s">
        <v>265</v>
      </c>
      <c r="C375" s="472"/>
      <c r="D375" s="472"/>
      <c r="E375" s="419">
        <f>E365+E360+E355+E349</f>
        <v>51452</v>
      </c>
      <c r="F375" s="419">
        <f aca="true" t="shared" si="79" ref="F375:L375">F365+F360+F355+F349</f>
        <v>199604.58333333334</v>
      </c>
      <c r="G375" s="419">
        <f>G365+G360+G355+G349</f>
        <v>101365.78699626225</v>
      </c>
      <c r="H375" s="419">
        <f t="shared" si="79"/>
        <v>2507459</v>
      </c>
      <c r="I375" s="419">
        <f t="shared" si="79"/>
        <v>2797118.197070013</v>
      </c>
      <c r="J375" s="419">
        <f t="shared" si="79"/>
        <v>30438.199999999997</v>
      </c>
      <c r="K375" s="419">
        <f>K365+K360+K355+K349</f>
        <v>1922063.425555555</v>
      </c>
      <c r="L375" s="419">
        <f t="shared" si="79"/>
        <v>51190.04222222222</v>
      </c>
      <c r="M375" s="404">
        <f>SUM(E375:L375)</f>
        <v>7660691.235177386</v>
      </c>
      <c r="N375" s="55"/>
      <c r="O375" s="415"/>
      <c r="P375" s="415"/>
      <c r="Q375" s="55"/>
      <c r="R375" s="415"/>
      <c r="S375" s="415"/>
      <c r="T375" s="55"/>
      <c r="U375" s="415"/>
      <c r="V375" s="415"/>
      <c r="W375" s="415"/>
      <c r="X375" s="415"/>
    </row>
    <row r="376" spans="2:24" ht="12.75" outlineLevel="1">
      <c r="B376" s="447"/>
      <c r="C376" s="472"/>
      <c r="D376" s="472"/>
      <c r="E376" s="55"/>
      <c r="F376" s="55"/>
      <c r="G376" s="50"/>
      <c r="H376" s="50"/>
      <c r="I376" s="55"/>
      <c r="J376" s="55"/>
      <c r="K376" s="50"/>
      <c r="L376" s="50"/>
      <c r="M376" s="48"/>
      <c r="N376" s="48"/>
      <c r="O376" s="412"/>
      <c r="P376" s="412"/>
      <c r="Q376" s="48"/>
      <c r="R376" s="412"/>
      <c r="S376" s="412"/>
      <c r="T376" s="48"/>
      <c r="U376" s="412"/>
      <c r="V376" s="412"/>
      <c r="W376" s="412"/>
      <c r="X376" s="412"/>
    </row>
    <row r="377" spans="2:24" ht="12.75" outlineLevel="1">
      <c r="B377" s="448" t="s">
        <v>266</v>
      </c>
      <c r="C377" s="471"/>
      <c r="D377" s="471"/>
      <c r="E377" s="55"/>
      <c r="F377" s="55"/>
      <c r="G377" s="50"/>
      <c r="H377" s="50"/>
      <c r="I377" s="55"/>
      <c r="J377" s="55"/>
      <c r="K377" s="50"/>
      <c r="L377" s="50"/>
      <c r="M377" s="48"/>
      <c r="N377" s="48"/>
      <c r="O377" s="412"/>
      <c r="P377" s="412"/>
      <c r="Q377" s="48"/>
      <c r="R377" s="412"/>
      <c r="S377" s="412"/>
      <c r="T377" s="48"/>
      <c r="U377" s="412"/>
      <c r="V377" s="412"/>
      <c r="W377" s="412"/>
      <c r="X377" s="412"/>
    </row>
    <row r="378" spans="2:24" ht="12.75" outlineLevel="1">
      <c r="B378" s="447" t="s">
        <v>267</v>
      </c>
      <c r="C378" s="472"/>
      <c r="D378" s="472"/>
      <c r="E378" s="419">
        <f>E$7*E369</f>
        <v>22222</v>
      </c>
      <c r="F378" s="419">
        <f aca="true" t="shared" si="80" ref="F378:L378">F$7*F369</f>
        <v>84308.62962962962</v>
      </c>
      <c r="G378" s="419">
        <f>G$7*G369</f>
        <v>43726.64362609061</v>
      </c>
      <c r="H378" s="419">
        <f t="shared" si="80"/>
        <v>1059984.7087542086</v>
      </c>
      <c r="I378" s="419">
        <f t="shared" si="80"/>
        <v>724252.1296296297</v>
      </c>
      <c r="J378" s="419">
        <f t="shared" si="80"/>
        <v>17798</v>
      </c>
      <c r="K378" s="419">
        <f>K$7*K369</f>
        <v>583716.4259259258</v>
      </c>
      <c r="L378" s="419">
        <f t="shared" si="80"/>
        <v>23983.11111111111</v>
      </c>
      <c r="M378" s="404">
        <f aca="true" t="shared" si="81" ref="M378:M383">SUM(E378:L378)</f>
        <v>2559991.6486765957</v>
      </c>
      <c r="N378" s="55"/>
      <c r="O378" s="415"/>
      <c r="P378" s="415"/>
      <c r="Q378" s="55"/>
      <c r="R378" s="415"/>
      <c r="S378" s="415"/>
      <c r="T378" s="55"/>
      <c r="U378" s="415"/>
      <c r="V378" s="415"/>
      <c r="W378" s="415"/>
      <c r="X378" s="415"/>
    </row>
    <row r="379" spans="2:24" ht="12.75" outlineLevel="1">
      <c r="B379" s="447" t="s">
        <v>268</v>
      </c>
      <c r="C379" s="472"/>
      <c r="D379" s="472"/>
      <c r="E379" s="419">
        <f>E$8*(E365+E360)</f>
        <v>49814</v>
      </c>
      <c r="F379" s="419">
        <f aca="true" t="shared" si="82" ref="F379:L379">F$8*(F365+F360)</f>
        <v>191399.58333333334</v>
      </c>
      <c r="G379" s="419">
        <f>G$8*(G365+G360)</f>
        <v>97897.97233230613</v>
      </c>
      <c r="H379" s="419">
        <f t="shared" si="82"/>
        <v>2439693</v>
      </c>
      <c r="I379" s="419">
        <f t="shared" si="82"/>
        <v>2681236.470943681</v>
      </c>
      <c r="J379" s="419">
        <f t="shared" si="82"/>
        <v>29284.1</v>
      </c>
      <c r="K379" s="419">
        <f>K$8*(K365+K360)</f>
        <v>1845851.2105555548</v>
      </c>
      <c r="L379" s="419">
        <f t="shared" si="82"/>
        <v>46847.392231118494</v>
      </c>
      <c r="M379" s="404">
        <f t="shared" si="81"/>
        <v>7382023.729395994</v>
      </c>
      <c r="N379" s="55"/>
      <c r="O379" s="415"/>
      <c r="P379" s="415"/>
      <c r="Q379" s="55"/>
      <c r="R379" s="415"/>
      <c r="S379" s="415"/>
      <c r="T379" s="55"/>
      <c r="U379" s="415"/>
      <c r="V379" s="415"/>
      <c r="W379" s="415"/>
      <c r="X379" s="415"/>
    </row>
    <row r="380" spans="2:24" ht="12.75" outlineLevel="1">
      <c r="B380" s="447" t="s">
        <v>269</v>
      </c>
      <c r="C380" s="472"/>
      <c r="D380" s="472"/>
      <c r="E380" s="419">
        <f aca="true" t="shared" si="83" ref="E380:L380">E$9*(E355+E349)</f>
        <v>874.2955414012739</v>
      </c>
      <c r="F380" s="419">
        <f t="shared" si="83"/>
        <v>4053.3991667020596</v>
      </c>
      <c r="G380" s="419">
        <f>G$9*(G355+G349)</f>
        <v>1345.9305266248487</v>
      </c>
      <c r="H380" s="419">
        <f t="shared" si="83"/>
        <v>34237.338121892135</v>
      </c>
      <c r="I380" s="419">
        <f t="shared" si="83"/>
        <v>54933.519126885796</v>
      </c>
      <c r="J380" s="419">
        <f t="shared" si="83"/>
        <v>534.4297095435684</v>
      </c>
      <c r="K380" s="419">
        <f>K$9*(K355+K349)</f>
        <v>40406.66107476335</v>
      </c>
      <c r="L380" s="419">
        <f t="shared" si="83"/>
        <v>1750.3225006792259</v>
      </c>
      <c r="M380" s="404">
        <f t="shared" si="81"/>
        <v>138135.89576849225</v>
      </c>
      <c r="N380" s="55"/>
      <c r="O380" s="415"/>
      <c r="P380" s="415"/>
      <c r="Q380" s="55"/>
      <c r="R380" s="415"/>
      <c r="S380" s="415"/>
      <c r="T380" s="55"/>
      <c r="U380" s="415"/>
      <c r="V380" s="415"/>
      <c r="W380" s="415"/>
      <c r="X380" s="415"/>
    </row>
    <row r="381" spans="2:24" ht="12.75" outlineLevel="1">
      <c r="B381" s="447" t="s">
        <v>270</v>
      </c>
      <c r="C381" s="472"/>
      <c r="D381" s="472"/>
      <c r="E381" s="419">
        <f aca="true" t="shared" si="84" ref="E381:L381">E$10*(E355+E349)</f>
        <v>279.6076433121019</v>
      </c>
      <c r="F381" s="419">
        <f t="shared" si="84"/>
        <v>1819.0895507975117</v>
      </c>
      <c r="G381" s="419">
        <f t="shared" si="84"/>
        <v>702.9339856418907</v>
      </c>
      <c r="H381" s="419">
        <f t="shared" si="84"/>
        <v>13408.173328442072</v>
      </c>
      <c r="I381" s="419">
        <f t="shared" si="84"/>
        <v>22452.10506180069</v>
      </c>
      <c r="J381" s="419">
        <f t="shared" si="84"/>
        <v>271.15230982019364</v>
      </c>
      <c r="K381" s="419">
        <f t="shared" si="84"/>
        <v>12945.91978880382</v>
      </c>
      <c r="L381" s="419">
        <f t="shared" si="84"/>
        <v>1029.2121113033627</v>
      </c>
      <c r="M381" s="404">
        <f t="shared" si="81"/>
        <v>52908.19377992164</v>
      </c>
      <c r="N381" s="55"/>
      <c r="O381" s="415"/>
      <c r="P381" s="415"/>
      <c r="Q381" s="55"/>
      <c r="R381" s="415"/>
      <c r="S381" s="415"/>
      <c r="T381" s="55"/>
      <c r="U381" s="415"/>
      <c r="V381" s="415"/>
      <c r="W381" s="415"/>
      <c r="X381" s="415"/>
    </row>
    <row r="382" spans="2:24" ht="12.75" outlineLevel="1">
      <c r="B382" s="447" t="s">
        <v>271</v>
      </c>
      <c r="C382" s="472"/>
      <c r="D382" s="472"/>
      <c r="E382" s="419">
        <f>E$11*(E355+E349)</f>
        <v>250.39490445859872</v>
      </c>
      <c r="F382" s="419">
        <f aca="true" t="shared" si="85" ref="F382:L382">F$11*(F355+F349)</f>
        <v>1284.2508487062505</v>
      </c>
      <c r="G382" s="419">
        <f>G$11*(G355+G349)</f>
        <v>1296.6409947706488</v>
      </c>
      <c r="H382" s="419">
        <f t="shared" si="85"/>
        <v>12225.081181782116</v>
      </c>
      <c r="I382" s="419">
        <f t="shared" si="85"/>
        <v>22222.925237579395</v>
      </c>
      <c r="J382" s="419">
        <f t="shared" si="85"/>
        <v>211.45197786998614</v>
      </c>
      <c r="K382" s="419">
        <f>K$11*(K355+K349)</f>
        <v>15230.364159643672</v>
      </c>
      <c r="L382" s="419">
        <f t="shared" si="85"/>
        <v>866.2197250522189</v>
      </c>
      <c r="M382" s="404">
        <f t="shared" si="81"/>
        <v>53587.329029862885</v>
      </c>
      <c r="N382" s="55"/>
      <c r="O382" s="415"/>
      <c r="P382" s="415"/>
      <c r="Q382" s="55"/>
      <c r="R382" s="415"/>
      <c r="S382" s="415"/>
      <c r="T382" s="55"/>
      <c r="U382" s="415"/>
      <c r="V382" s="415"/>
      <c r="W382" s="415"/>
      <c r="X382" s="415"/>
    </row>
    <row r="383" spans="2:24" ht="12.75" outlineLevel="1">
      <c r="B383" s="447" t="s">
        <v>272</v>
      </c>
      <c r="C383" s="472"/>
      <c r="D383" s="472"/>
      <c r="E383" s="419">
        <f aca="true" t="shared" si="86" ref="E383:L383">E$12*(E355+E349)</f>
        <v>233.70191082802546</v>
      </c>
      <c r="F383" s="419">
        <f t="shared" si="86"/>
        <v>1048.1713078250211</v>
      </c>
      <c r="G383" s="419">
        <f>G$12*(G355+G349)</f>
        <v>122.30915691871571</v>
      </c>
      <c r="H383" s="419">
        <f t="shared" si="86"/>
        <v>7895.454325896489</v>
      </c>
      <c r="I383" s="419">
        <f t="shared" si="86"/>
        <v>16273.176700065918</v>
      </c>
      <c r="J383" s="419">
        <f t="shared" si="86"/>
        <v>137.06600276625173</v>
      </c>
      <c r="K383" s="419">
        <f>K$12*(K355+K349)</f>
        <v>7629.514983692935</v>
      </c>
      <c r="L383" s="419">
        <f t="shared" si="86"/>
        <v>696.8956540689147</v>
      </c>
      <c r="M383" s="404">
        <f t="shared" si="81"/>
        <v>34036.290042062275</v>
      </c>
      <c r="N383" s="55"/>
      <c r="O383" s="415"/>
      <c r="P383" s="415"/>
      <c r="Q383" s="55"/>
      <c r="R383" s="415"/>
      <c r="S383" s="415"/>
      <c r="T383" s="55"/>
      <c r="U383" s="415"/>
      <c r="V383" s="415"/>
      <c r="W383" s="415"/>
      <c r="X383" s="415"/>
    </row>
    <row r="384" spans="2:24" ht="12.75" outlineLevel="1">
      <c r="B384" s="447" t="s">
        <v>275</v>
      </c>
      <c r="C384" s="447"/>
      <c r="D384" s="447"/>
      <c r="E384" s="55"/>
      <c r="F384" s="55"/>
      <c r="G384" s="50"/>
      <c r="H384" s="50"/>
      <c r="I384" s="55"/>
      <c r="J384" s="55"/>
      <c r="K384" s="50"/>
      <c r="L384" s="50"/>
      <c r="M384" s="48"/>
      <c r="N384" s="48"/>
      <c r="O384" s="412"/>
      <c r="P384" s="412"/>
      <c r="Q384" s="48"/>
      <c r="R384" s="412"/>
      <c r="S384" s="412"/>
      <c r="T384" s="48"/>
      <c r="U384" s="412"/>
      <c r="V384" s="412"/>
      <c r="W384" s="412"/>
      <c r="X384" s="412"/>
    </row>
    <row r="385" spans="2:24" ht="12.75" outlineLevel="1">
      <c r="B385" s="448" t="s">
        <v>252</v>
      </c>
      <c r="C385" s="448"/>
      <c r="D385" s="448"/>
      <c r="E385" s="55"/>
      <c r="F385" s="55"/>
      <c r="G385" s="50"/>
      <c r="H385" s="50"/>
      <c r="I385" s="55"/>
      <c r="J385" s="55"/>
      <c r="K385" s="50"/>
      <c r="L385" s="50"/>
      <c r="M385" s="48"/>
      <c r="N385" s="48"/>
      <c r="O385" s="412"/>
      <c r="P385" s="412"/>
      <c r="Q385" s="48"/>
      <c r="R385" s="412"/>
      <c r="S385" s="412"/>
      <c r="T385" s="48"/>
      <c r="U385" s="412"/>
      <c r="V385" s="412"/>
      <c r="W385" s="412"/>
      <c r="X385" s="412"/>
    </row>
    <row r="386" spans="2:24" ht="12.75" outlineLevel="1">
      <c r="B386" s="447" t="s">
        <v>275</v>
      </c>
      <c r="C386" s="447"/>
      <c r="D386" s="447"/>
      <c r="E386" s="52"/>
      <c r="F386" s="52"/>
      <c r="G386" s="50"/>
      <c r="H386" s="50"/>
      <c r="I386" s="55"/>
      <c r="J386" s="55"/>
      <c r="K386" s="50"/>
      <c r="L386" s="50"/>
      <c r="M386" s="48"/>
      <c r="N386" s="48"/>
      <c r="O386" s="412"/>
      <c r="P386" s="412"/>
      <c r="Q386" s="48"/>
      <c r="R386" s="412"/>
      <c r="S386" s="412"/>
      <c r="T386" s="48"/>
      <c r="U386" s="412"/>
      <c r="V386" s="412"/>
      <c r="W386" s="412"/>
      <c r="X386" s="412"/>
    </row>
    <row r="387" spans="2:24" ht="12.75" outlineLevel="1">
      <c r="B387" s="446" t="s">
        <v>404</v>
      </c>
      <c r="C387" s="446"/>
      <c r="D387" s="446"/>
      <c r="E387" s="276">
        <f>PAV!E192</f>
        <v>22222</v>
      </c>
      <c r="F387" s="276">
        <f>PAV!J192</f>
        <v>84304.74999999999</v>
      </c>
      <c r="G387" s="276">
        <f>PAV!AD192</f>
        <v>43726.64362609061</v>
      </c>
      <c r="H387" s="276">
        <f>PAV!Y192</f>
        <v>1045520.4078441673</v>
      </c>
      <c r="I387" s="276">
        <f>PAV!AI192</f>
        <v>724532</v>
      </c>
      <c r="J387" s="276">
        <f>PAV!AS192</f>
        <v>17798</v>
      </c>
      <c r="K387" s="276">
        <f>PAV!O192</f>
        <v>567848.6927083334</v>
      </c>
      <c r="L387" s="276">
        <f>PAV!AX192</f>
        <v>23983.016129032258</v>
      </c>
      <c r="M387" s="404">
        <f aca="true" t="shared" si="87" ref="M387:M394">SUM(E387:L387)</f>
        <v>2529935.5103076235</v>
      </c>
      <c r="N387" s="57"/>
      <c r="O387" s="416"/>
      <c r="P387" s="416"/>
      <c r="Q387" s="57"/>
      <c r="R387" s="416"/>
      <c r="S387" s="416"/>
      <c r="T387" s="57"/>
      <c r="U387" s="416"/>
      <c r="V387" s="416"/>
      <c r="W387" s="416"/>
      <c r="X387" s="416"/>
    </row>
    <row r="388" spans="2:24" ht="12.75" outlineLevel="1">
      <c r="B388" s="446" t="s">
        <v>405</v>
      </c>
      <c r="C388" s="446"/>
      <c r="D388" s="446"/>
      <c r="E388" s="276">
        <f>PAV!E193</f>
        <v>49814</v>
      </c>
      <c r="F388" s="276">
        <f>PAV!J193</f>
        <v>191399.58333333337</v>
      </c>
      <c r="G388" s="276">
        <f>PAV!AD193</f>
        <v>97607.87850294591</v>
      </c>
      <c r="H388" s="276">
        <f>PAV!Y193</f>
        <v>2450670.0019193124</v>
      </c>
      <c r="I388" s="276">
        <f>PAV!AI193</f>
        <v>2676633</v>
      </c>
      <c r="J388" s="276">
        <f>PAV!AS193</f>
        <v>29284.1</v>
      </c>
      <c r="K388" s="276">
        <f>PAV!O193</f>
        <v>1857065.6212574851</v>
      </c>
      <c r="L388" s="276">
        <f>PAV!AX193</f>
        <v>46847.392231118494</v>
      </c>
      <c r="M388" s="404">
        <f t="shared" si="87"/>
        <v>7399321.577244195</v>
      </c>
      <c r="N388" s="57"/>
      <c r="O388" s="416"/>
      <c r="P388" s="416"/>
      <c r="Q388" s="57"/>
      <c r="R388" s="416"/>
      <c r="S388" s="416"/>
      <c r="T388" s="57"/>
      <c r="U388" s="416"/>
      <c r="V388" s="416"/>
      <c r="W388" s="416"/>
      <c r="X388" s="416"/>
    </row>
    <row r="389" spans="2:24" ht="12.75" outlineLevel="1">
      <c r="B389" s="446" t="s">
        <v>406</v>
      </c>
      <c r="C389" s="446"/>
      <c r="D389" s="446"/>
      <c r="E389" s="276">
        <f>PAV!E194</f>
        <v>1638</v>
      </c>
      <c r="F389" s="276">
        <f>PAV!J194</f>
        <v>8199.833333333334</v>
      </c>
      <c r="G389" s="276">
        <f>PAV!AD194</f>
        <v>3450.3686852252567</v>
      </c>
      <c r="H389" s="276">
        <f>PAV!Y194</f>
        <v>67416.6520293126</v>
      </c>
      <c r="I389" s="276">
        <f>PAV!AI194</f>
        <v>117972.77845833334</v>
      </c>
      <c r="J389" s="276">
        <f>PAV!AS194</f>
        <v>1154.1</v>
      </c>
      <c r="K389" s="276">
        <f>PAV!O194</f>
        <v>83467.06176470588</v>
      </c>
      <c r="L389" s="276">
        <f>PAV!AX194</f>
        <v>4462.738399636781</v>
      </c>
      <c r="M389" s="404">
        <f t="shared" si="87"/>
        <v>287761.5326705472</v>
      </c>
      <c r="N389" s="57"/>
      <c r="O389" s="416"/>
      <c r="P389" s="416"/>
      <c r="Q389" s="57"/>
      <c r="R389" s="416"/>
      <c r="S389" s="416"/>
      <c r="T389" s="57"/>
      <c r="U389" s="416"/>
      <c r="V389" s="416"/>
      <c r="W389" s="416"/>
      <c r="X389" s="416"/>
    </row>
    <row r="390" spans="2:24" ht="12.75" outlineLevel="1">
      <c r="B390" s="446" t="s">
        <v>394</v>
      </c>
      <c r="C390" s="446"/>
      <c r="D390" s="446"/>
      <c r="E390" s="276">
        <f>PAV!E195</f>
        <v>510.53846153846155</v>
      </c>
      <c r="F390" s="276">
        <f>PAV!J195</f>
        <v>1705.4971995464853</v>
      </c>
      <c r="G390" s="276">
        <f>PAV!AD195</f>
        <v>742.8360093164525</v>
      </c>
      <c r="H390" s="276">
        <f>PAV!Y195</f>
        <v>34441.571127733034</v>
      </c>
      <c r="I390" s="276">
        <f>PAV!AI195</f>
        <v>14430.921333333334</v>
      </c>
      <c r="J390" s="276">
        <f>PAV!AS195</f>
        <v>242.45999999999998</v>
      </c>
      <c r="K390" s="276">
        <f>PAV!O195</f>
        <v>14030.526570048309</v>
      </c>
      <c r="L390" s="276">
        <f>PAV!AX195</f>
        <v>881.2377477949738</v>
      </c>
      <c r="M390" s="404">
        <f t="shared" si="87"/>
        <v>66985.58844931105</v>
      </c>
      <c r="N390" s="57"/>
      <c r="O390" s="416"/>
      <c r="P390" s="416"/>
      <c r="Q390" s="57"/>
      <c r="R390" s="416"/>
      <c r="S390" s="416"/>
      <c r="T390" s="57"/>
      <c r="U390" s="416"/>
      <c r="V390" s="416"/>
      <c r="W390" s="416"/>
      <c r="X390" s="416"/>
    </row>
    <row r="391" spans="2:24" ht="12.75" outlineLevel="1">
      <c r="B391" s="446" t="s">
        <v>397</v>
      </c>
      <c r="C391" s="446"/>
      <c r="D391" s="446"/>
      <c r="E391" s="276">
        <f>PAV!E196</f>
        <v>30.23076923076923</v>
      </c>
      <c r="F391" s="276">
        <f>PAV!J196</f>
        <v>352.71387755102035</v>
      </c>
      <c r="G391" s="276">
        <f>PAV!AD196</f>
        <v>575.3418464477035</v>
      </c>
      <c r="H391" s="276">
        <f>PAV!Y196</f>
        <v>9299.278832802896</v>
      </c>
      <c r="I391" s="276">
        <f>PAV!AI196</f>
        <v>12065.073124999999</v>
      </c>
      <c r="J391" s="276">
        <f>PAV!AS196</f>
        <v>21.58</v>
      </c>
      <c r="K391" s="276">
        <f>PAV!O196</f>
        <v>4816.43013682583</v>
      </c>
      <c r="L391" s="276">
        <f>PAV!AX196</f>
        <v>434.67532730417736</v>
      </c>
      <c r="M391" s="404">
        <f t="shared" si="87"/>
        <v>27595.323915162397</v>
      </c>
      <c r="N391" s="57"/>
      <c r="O391" s="416"/>
      <c r="P391" s="416"/>
      <c r="Q391" s="57"/>
      <c r="R391" s="416"/>
      <c r="S391" s="416"/>
      <c r="T391" s="57"/>
      <c r="U391" s="416"/>
      <c r="V391" s="416"/>
      <c r="W391" s="416"/>
      <c r="X391" s="416"/>
    </row>
    <row r="392" spans="2:24" ht="12.75" outlineLevel="1">
      <c r="B392" s="446" t="s">
        <v>400</v>
      </c>
      <c r="C392" s="446"/>
      <c r="D392" s="446"/>
      <c r="E392" s="276">
        <f>PAV!E197</f>
        <v>0</v>
      </c>
      <c r="F392" s="276">
        <f>PAV!J197</f>
        <v>45</v>
      </c>
      <c r="G392" s="276">
        <f>PAV!AD197</f>
        <v>5.1225388904363</v>
      </c>
      <c r="H392" s="276">
        <f>PAV!Y197</f>
        <v>154.79244723410102</v>
      </c>
      <c r="I392" s="276">
        <f>PAV!AI197</f>
        <v>181.59641666666667</v>
      </c>
      <c r="J392" s="276">
        <f>PAV!AS197</f>
        <v>0</v>
      </c>
      <c r="K392" s="276">
        <f>PAV!O197</f>
        <v>133.85650974642363</v>
      </c>
      <c r="L392" s="276">
        <f>PAV!AX197</f>
        <v>22.228117684996672</v>
      </c>
      <c r="M392" s="404">
        <f t="shared" si="87"/>
        <v>542.5960302226242</v>
      </c>
      <c r="N392" s="57"/>
      <c r="O392" s="416"/>
      <c r="P392" s="416"/>
      <c r="Q392" s="57"/>
      <c r="R392" s="416"/>
      <c r="S392" s="416"/>
      <c r="T392" s="57"/>
      <c r="U392" s="416"/>
      <c r="V392" s="416"/>
      <c r="W392" s="416"/>
      <c r="X392" s="416"/>
    </row>
    <row r="393" spans="2:24" s="45" customFormat="1" ht="12.75" outlineLevel="1">
      <c r="B393" s="447"/>
      <c r="C393" s="447"/>
      <c r="D393" s="447"/>
      <c r="E393" s="48"/>
      <c r="F393" s="48"/>
      <c r="G393" s="48"/>
      <c r="H393" s="48"/>
      <c r="I393" s="48"/>
      <c r="J393" s="48"/>
      <c r="K393" s="48"/>
      <c r="L393" s="48"/>
      <c r="M393" s="57"/>
      <c r="N393" s="48"/>
      <c r="O393" s="412"/>
      <c r="P393" s="412"/>
      <c r="Q393" s="48"/>
      <c r="R393" s="412"/>
      <c r="S393" s="412"/>
      <c r="T393" s="48"/>
      <c r="U393" s="412"/>
      <c r="V393" s="412"/>
      <c r="W393" s="412"/>
      <c r="X393" s="412"/>
    </row>
    <row r="394" spans="2:24" ht="12.75" outlineLevel="1">
      <c r="B394" s="447" t="s">
        <v>255</v>
      </c>
      <c r="C394" s="447"/>
      <c r="D394" s="447"/>
      <c r="E394" s="276">
        <f>PAV!B239</f>
        <v>0</v>
      </c>
      <c r="F394" s="276">
        <f>PAV!C239</f>
        <v>151046.3333333333</v>
      </c>
      <c r="G394" s="276">
        <f>PAV!D239</f>
        <v>3238.3301322237844</v>
      </c>
      <c r="H394" s="276">
        <f>PAV!E239</f>
        <v>0</v>
      </c>
      <c r="I394" s="276">
        <f>PAV!F239</f>
        <v>653758.8023525178</v>
      </c>
      <c r="J394" s="276">
        <f>PAV!G239</f>
        <v>5615</v>
      </c>
      <c r="K394" s="276">
        <f>PAV!H239</f>
        <v>212423.55224626875</v>
      </c>
      <c r="L394" s="276">
        <f>PAV!I239</f>
        <v>2302.5</v>
      </c>
      <c r="M394" s="404">
        <f t="shared" si="87"/>
        <v>1028384.5180643437</v>
      </c>
      <c r="N394" s="57"/>
      <c r="O394" s="416"/>
      <c r="P394" s="416"/>
      <c r="Q394" s="57"/>
      <c r="R394" s="416"/>
      <c r="S394" s="416"/>
      <c r="T394" s="57"/>
      <c r="U394" s="416"/>
      <c r="V394" s="416"/>
      <c r="W394" s="416"/>
      <c r="X394" s="416"/>
    </row>
    <row r="395" spans="2:24" ht="12.75" outlineLevel="1">
      <c r="B395" s="447" t="s">
        <v>275</v>
      </c>
      <c r="C395" s="447"/>
      <c r="D395" s="44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416"/>
      <c r="P395" s="416"/>
      <c r="Q395" s="57"/>
      <c r="R395" s="416"/>
      <c r="S395" s="416"/>
      <c r="T395" s="57"/>
      <c r="U395" s="416"/>
      <c r="V395" s="416"/>
      <c r="W395" s="416"/>
      <c r="X395" s="416"/>
    </row>
    <row r="396" spans="2:24" ht="12.75">
      <c r="B396" s="447" t="s">
        <v>275</v>
      </c>
      <c r="C396" s="447"/>
      <c r="D396" s="447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489"/>
      <c r="P396" s="489"/>
      <c r="Q396" s="71"/>
      <c r="R396" s="489"/>
      <c r="S396" s="489"/>
      <c r="T396" s="71"/>
      <c r="U396" s="489"/>
      <c r="V396" s="489"/>
      <c r="W396" s="489"/>
      <c r="X396" s="489"/>
    </row>
    <row r="397" spans="2:24" s="42" customFormat="1" ht="12.75">
      <c r="B397" s="83">
        <v>2009</v>
      </c>
      <c r="C397" s="83"/>
      <c r="D397" s="83"/>
      <c r="E397" s="485"/>
      <c r="F397" s="485"/>
      <c r="G397" s="485"/>
      <c r="H397" s="485"/>
      <c r="I397" s="485"/>
      <c r="J397" s="485"/>
      <c r="K397" s="485"/>
      <c r="L397" s="485"/>
      <c r="M397" s="485"/>
      <c r="N397" s="485"/>
      <c r="O397" s="486"/>
      <c r="P397" s="486"/>
      <c r="Q397" s="485"/>
      <c r="R397" s="486"/>
      <c r="S397" s="486"/>
      <c r="T397" s="485"/>
      <c r="U397" s="486"/>
      <c r="V397" s="486"/>
      <c r="W397" s="486"/>
      <c r="X397" s="486"/>
    </row>
    <row r="398" spans="2:24" ht="12.75">
      <c r="B398" s="103"/>
      <c r="C398" s="103"/>
      <c r="D398" s="103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12"/>
      <c r="P398" s="412"/>
      <c r="Q398" s="48"/>
      <c r="R398" s="412"/>
      <c r="S398" s="412"/>
      <c r="T398" s="48"/>
      <c r="U398" s="412"/>
      <c r="V398" s="412"/>
      <c r="W398" s="412"/>
      <c r="X398" s="412"/>
    </row>
    <row r="399" spans="2:24" ht="12.75" outlineLevel="1">
      <c r="B399" s="448" t="s">
        <v>229</v>
      </c>
      <c r="C399" s="447"/>
      <c r="D399" s="447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487"/>
      <c r="P399" s="487"/>
      <c r="Q399" s="70"/>
      <c r="R399" s="487"/>
      <c r="S399" s="487"/>
      <c r="T399" s="70"/>
      <c r="U399" s="487"/>
      <c r="V399" s="487"/>
      <c r="W399" s="487"/>
      <c r="X399" s="487"/>
    </row>
    <row r="400" spans="2:24" ht="12.75" outlineLevel="1">
      <c r="B400" s="447" t="s">
        <v>230</v>
      </c>
      <c r="C400" s="447"/>
      <c r="D400" s="447"/>
      <c r="E400" s="46">
        <f>E273</f>
        <v>0</v>
      </c>
      <c r="F400" s="46">
        <f aca="true" t="shared" si="88" ref="F400:L400">F273</f>
        <v>0</v>
      </c>
      <c r="G400" s="46">
        <f aca="true" t="shared" si="89" ref="G400:G405">G273</f>
        <v>0</v>
      </c>
      <c r="H400" s="46">
        <f t="shared" si="88"/>
        <v>0</v>
      </c>
      <c r="I400" s="46">
        <v>1</v>
      </c>
      <c r="J400" s="46">
        <f t="shared" si="88"/>
        <v>0</v>
      </c>
      <c r="K400" s="46">
        <v>1</v>
      </c>
      <c r="L400" s="46">
        <f t="shared" si="88"/>
        <v>0</v>
      </c>
      <c r="M400" s="404">
        <f aca="true" t="shared" si="90" ref="M400:M405">SUM(E400:L400)</f>
        <v>2</v>
      </c>
      <c r="N400" s="48"/>
      <c r="O400" s="412"/>
      <c r="P400" s="412"/>
      <c r="Q400" s="48"/>
      <c r="R400" s="412"/>
      <c r="S400" s="412"/>
      <c r="T400" s="48"/>
      <c r="U400" s="412"/>
      <c r="V400" s="412"/>
      <c r="W400" s="412"/>
      <c r="X400" s="412"/>
    </row>
    <row r="401" spans="2:24" ht="12.75" outlineLevel="1">
      <c r="B401" s="472"/>
      <c r="C401" s="447"/>
      <c r="D401" s="447"/>
      <c r="E401" s="101"/>
      <c r="F401" s="101"/>
      <c r="G401" s="101"/>
      <c r="H401" s="101"/>
      <c r="I401" s="101"/>
      <c r="J401" s="101"/>
      <c r="K401" s="101"/>
      <c r="L401" s="101"/>
      <c r="M401" s="48"/>
      <c r="N401" s="48"/>
      <c r="O401" s="412"/>
      <c r="P401" s="412"/>
      <c r="Q401" s="48"/>
      <c r="R401" s="412"/>
      <c r="S401" s="412"/>
      <c r="T401" s="48"/>
      <c r="U401" s="412"/>
      <c r="V401" s="412"/>
      <c r="W401" s="412"/>
      <c r="X401" s="412"/>
    </row>
    <row r="402" spans="2:24" ht="12.75" outlineLevel="1">
      <c r="B402" s="447" t="s">
        <v>231</v>
      </c>
      <c r="C402" s="447"/>
      <c r="D402" s="447"/>
      <c r="E402" s="46">
        <f>E275</f>
        <v>0</v>
      </c>
      <c r="F402" s="46">
        <f aca="true" t="shared" si="91" ref="F402:L403">F275</f>
        <v>0</v>
      </c>
      <c r="G402" s="46">
        <f t="shared" si="89"/>
        <v>0</v>
      </c>
      <c r="H402" s="46">
        <f t="shared" si="91"/>
        <v>0</v>
      </c>
      <c r="I402" s="46">
        <v>1</v>
      </c>
      <c r="J402" s="46">
        <f t="shared" si="91"/>
        <v>0</v>
      </c>
      <c r="K402" s="46">
        <v>1</v>
      </c>
      <c r="L402" s="46">
        <f t="shared" si="91"/>
        <v>0</v>
      </c>
      <c r="M402" s="404">
        <f t="shared" si="90"/>
        <v>2</v>
      </c>
      <c r="N402" s="48"/>
      <c r="O402" s="412"/>
      <c r="P402" s="412"/>
      <c r="Q402" s="48"/>
      <c r="R402" s="412"/>
      <c r="S402" s="412"/>
      <c r="T402" s="48"/>
      <c r="U402" s="412"/>
      <c r="V402" s="412"/>
      <c r="W402" s="412"/>
      <c r="X402" s="412"/>
    </row>
    <row r="403" spans="2:24" ht="12.75" outlineLevel="1">
      <c r="B403" s="447" t="s">
        <v>232</v>
      </c>
      <c r="C403" s="447"/>
      <c r="D403" s="447"/>
      <c r="E403" s="46">
        <f>E276</f>
        <v>0</v>
      </c>
      <c r="F403" s="46">
        <f t="shared" si="91"/>
        <v>0</v>
      </c>
      <c r="G403" s="46">
        <f t="shared" si="89"/>
        <v>0</v>
      </c>
      <c r="H403" s="46">
        <f t="shared" si="91"/>
        <v>0</v>
      </c>
      <c r="I403" s="46">
        <v>1</v>
      </c>
      <c r="J403" s="46">
        <f t="shared" si="91"/>
        <v>0</v>
      </c>
      <c r="K403" s="46">
        <v>1</v>
      </c>
      <c r="L403" s="46">
        <f t="shared" si="91"/>
        <v>0</v>
      </c>
      <c r="M403" s="404">
        <f t="shared" si="90"/>
        <v>2</v>
      </c>
      <c r="N403" s="48"/>
      <c r="O403" s="412"/>
      <c r="P403" s="412"/>
      <c r="Q403" s="48"/>
      <c r="R403" s="412"/>
      <c r="S403" s="412"/>
      <c r="T403" s="48"/>
      <c r="U403" s="412"/>
      <c r="V403" s="412"/>
      <c r="W403" s="412"/>
      <c r="X403" s="412"/>
    </row>
    <row r="404" spans="2:24" ht="12.75" outlineLevel="1">
      <c r="B404" s="472"/>
      <c r="C404" s="447"/>
      <c r="D404" s="447"/>
      <c r="E404" s="101"/>
      <c r="F404" s="101"/>
      <c r="G404" s="101"/>
      <c r="H404" s="101"/>
      <c r="I404" s="101"/>
      <c r="J404" s="101"/>
      <c r="K404" s="101"/>
      <c r="L404" s="101"/>
      <c r="M404" s="48"/>
      <c r="N404" s="48"/>
      <c r="O404" s="412"/>
      <c r="P404" s="412"/>
      <c r="Q404" s="48"/>
      <c r="R404" s="412"/>
      <c r="S404" s="412"/>
      <c r="T404" s="48"/>
      <c r="U404" s="412"/>
      <c r="V404" s="412"/>
      <c r="W404" s="412"/>
      <c r="X404" s="412"/>
    </row>
    <row r="405" spans="2:24" ht="12.75" outlineLevel="1">
      <c r="B405" s="447" t="s">
        <v>234</v>
      </c>
      <c r="C405" s="447"/>
      <c r="D405" s="447"/>
      <c r="E405" s="46">
        <f aca="true" t="shared" si="92" ref="E405:L405">E278</f>
        <v>0</v>
      </c>
      <c r="F405" s="46">
        <f t="shared" si="92"/>
        <v>0</v>
      </c>
      <c r="G405" s="46">
        <f t="shared" si="89"/>
        <v>0</v>
      </c>
      <c r="H405" s="46">
        <f t="shared" si="92"/>
        <v>0</v>
      </c>
      <c r="I405" s="46">
        <v>1</v>
      </c>
      <c r="J405" s="46">
        <f t="shared" si="92"/>
        <v>0</v>
      </c>
      <c r="K405" s="46">
        <v>1</v>
      </c>
      <c r="L405" s="46">
        <f t="shared" si="92"/>
        <v>0</v>
      </c>
      <c r="M405" s="404">
        <f t="shared" si="90"/>
        <v>2</v>
      </c>
      <c r="N405" s="48"/>
      <c r="O405" s="412"/>
      <c r="P405" s="412"/>
      <c r="Q405" s="48"/>
      <c r="R405" s="412"/>
      <c r="S405" s="412"/>
      <c r="T405" s="48"/>
      <c r="U405" s="412"/>
      <c r="V405" s="412"/>
      <c r="W405" s="412"/>
      <c r="X405" s="412"/>
    </row>
    <row r="406" spans="2:24" ht="12.75" outlineLevel="1">
      <c r="B406" s="447" t="s">
        <v>275</v>
      </c>
      <c r="C406" s="447"/>
      <c r="D406" s="447"/>
      <c r="E406" s="49"/>
      <c r="F406" s="49"/>
      <c r="G406" s="50"/>
      <c r="H406" s="50"/>
      <c r="I406" s="49"/>
      <c r="J406" s="49"/>
      <c r="K406" s="50"/>
      <c r="L406" s="50"/>
      <c r="M406" s="48"/>
      <c r="N406" s="48"/>
      <c r="O406" s="412"/>
      <c r="P406" s="412"/>
      <c r="Q406" s="48"/>
      <c r="R406" s="412"/>
      <c r="S406" s="412"/>
      <c r="T406" s="48"/>
      <c r="U406" s="412"/>
      <c r="V406" s="412"/>
      <c r="W406" s="412"/>
      <c r="X406" s="412"/>
    </row>
    <row r="407" spans="2:24" ht="12.75" outlineLevel="1">
      <c r="B407" s="448" t="s">
        <v>235</v>
      </c>
      <c r="C407" s="447"/>
      <c r="D407" s="447"/>
      <c r="E407" s="49"/>
      <c r="F407" s="49"/>
      <c r="G407" s="50"/>
      <c r="H407" s="50"/>
      <c r="I407" s="49"/>
      <c r="J407" s="49"/>
      <c r="K407" s="50"/>
      <c r="L407" s="50"/>
      <c r="M407" s="48"/>
      <c r="N407" s="48"/>
      <c r="O407" s="412"/>
      <c r="P407" s="412"/>
      <c r="Q407" s="48"/>
      <c r="R407" s="412"/>
      <c r="S407" s="412"/>
      <c r="T407" s="48"/>
      <c r="U407" s="412"/>
      <c r="V407" s="412"/>
      <c r="W407" s="412"/>
      <c r="X407" s="412"/>
    </row>
    <row r="408" spans="2:24" ht="12.75" outlineLevel="1">
      <c r="B408" s="447" t="s">
        <v>230</v>
      </c>
      <c r="C408" s="447"/>
      <c r="D408" s="447"/>
      <c r="E408" s="46">
        <f>E281</f>
        <v>0</v>
      </c>
      <c r="F408" s="46">
        <f aca="true" t="shared" si="93" ref="F408:L408">F281</f>
        <v>0</v>
      </c>
      <c r="G408" s="46">
        <f aca="true" t="shared" si="94" ref="G408:G413">G281</f>
        <v>0</v>
      </c>
      <c r="H408" s="46">
        <f t="shared" si="93"/>
        <v>0</v>
      </c>
      <c r="I408" s="46">
        <f t="shared" si="93"/>
        <v>0</v>
      </c>
      <c r="J408" s="46">
        <f t="shared" si="93"/>
        <v>0</v>
      </c>
      <c r="K408" s="46">
        <v>1</v>
      </c>
      <c r="L408" s="46">
        <f t="shared" si="93"/>
        <v>0</v>
      </c>
      <c r="M408" s="404">
        <f aca="true" t="shared" si="95" ref="M408:M413">SUM(E408:L408)</f>
        <v>1</v>
      </c>
      <c r="N408" s="48"/>
      <c r="O408" s="412"/>
      <c r="P408" s="412"/>
      <c r="Q408" s="48"/>
      <c r="R408" s="412"/>
      <c r="S408" s="412"/>
      <c r="T408" s="48"/>
      <c r="U408" s="412"/>
      <c r="V408" s="412"/>
      <c r="W408" s="412"/>
      <c r="X408" s="412"/>
    </row>
    <row r="409" spans="2:24" ht="12.75" outlineLevel="1">
      <c r="B409" s="472"/>
      <c r="C409" s="447"/>
      <c r="D409" s="447"/>
      <c r="E409" s="101"/>
      <c r="F409" s="101"/>
      <c r="G409" s="101"/>
      <c r="H409" s="101"/>
      <c r="I409" s="101"/>
      <c r="J409" s="101"/>
      <c r="K409" s="101"/>
      <c r="L409" s="101"/>
      <c r="M409" s="48"/>
      <c r="N409" s="48"/>
      <c r="O409" s="412"/>
      <c r="P409" s="412"/>
      <c r="Q409" s="48"/>
      <c r="R409" s="412"/>
      <c r="S409" s="412"/>
      <c r="T409" s="48"/>
      <c r="U409" s="412"/>
      <c r="V409" s="412"/>
      <c r="W409" s="412"/>
      <c r="X409" s="412"/>
    </row>
    <row r="410" spans="2:24" ht="12.75" outlineLevel="1">
      <c r="B410" s="447" t="s">
        <v>231</v>
      </c>
      <c r="C410" s="447"/>
      <c r="D410" s="447"/>
      <c r="E410" s="46">
        <f>E283</f>
        <v>0</v>
      </c>
      <c r="F410" s="46">
        <f aca="true" t="shared" si="96" ref="F410:L411">F283</f>
        <v>0</v>
      </c>
      <c r="G410" s="46">
        <f t="shared" si="94"/>
        <v>0</v>
      </c>
      <c r="H410" s="46">
        <f t="shared" si="96"/>
        <v>0</v>
      </c>
      <c r="I410" s="46">
        <f t="shared" si="96"/>
        <v>0</v>
      </c>
      <c r="J410" s="46">
        <f t="shared" si="96"/>
        <v>0</v>
      </c>
      <c r="K410" s="46">
        <v>1</v>
      </c>
      <c r="L410" s="46">
        <f t="shared" si="96"/>
        <v>0</v>
      </c>
      <c r="M410" s="404">
        <f t="shared" si="95"/>
        <v>1</v>
      </c>
      <c r="N410" s="48"/>
      <c r="O410" s="412"/>
      <c r="P410" s="412"/>
      <c r="Q410" s="48"/>
      <c r="R410" s="412"/>
      <c r="S410" s="412"/>
      <c r="T410" s="48"/>
      <c r="U410" s="412"/>
      <c r="V410" s="412"/>
      <c r="W410" s="412"/>
      <c r="X410" s="412"/>
    </row>
    <row r="411" spans="2:24" ht="12.75" outlineLevel="1">
      <c r="B411" s="447" t="s">
        <v>236</v>
      </c>
      <c r="C411" s="447"/>
      <c r="D411" s="447"/>
      <c r="E411" s="46">
        <f>E284</f>
        <v>0</v>
      </c>
      <c r="F411" s="46">
        <f t="shared" si="96"/>
        <v>0</v>
      </c>
      <c r="G411" s="46">
        <f t="shared" si="94"/>
        <v>0</v>
      </c>
      <c r="H411" s="46">
        <f t="shared" si="96"/>
        <v>0</v>
      </c>
      <c r="I411" s="46">
        <f t="shared" si="96"/>
        <v>0</v>
      </c>
      <c r="J411" s="46">
        <f t="shared" si="96"/>
        <v>0</v>
      </c>
      <c r="K411" s="46">
        <v>1</v>
      </c>
      <c r="L411" s="46">
        <f t="shared" si="96"/>
        <v>0</v>
      </c>
      <c r="M411" s="404">
        <f t="shared" si="95"/>
        <v>1</v>
      </c>
      <c r="N411" s="48"/>
      <c r="O411" s="412"/>
      <c r="P411" s="412"/>
      <c r="Q411" s="48"/>
      <c r="R411" s="412"/>
      <c r="S411" s="412"/>
      <c r="T411" s="48"/>
      <c r="U411" s="412"/>
      <c r="V411" s="412"/>
      <c r="W411" s="412"/>
      <c r="X411" s="412"/>
    </row>
    <row r="412" spans="2:24" ht="12.75" outlineLevel="1">
      <c r="B412" s="472"/>
      <c r="C412" s="447"/>
      <c r="D412" s="447"/>
      <c r="E412" s="101"/>
      <c r="F412" s="101"/>
      <c r="G412" s="101"/>
      <c r="H412" s="101"/>
      <c r="I412" s="101"/>
      <c r="J412" s="101"/>
      <c r="K412" s="101"/>
      <c r="L412" s="101"/>
      <c r="M412" s="48"/>
      <c r="N412" s="48"/>
      <c r="O412" s="412"/>
      <c r="P412" s="412"/>
      <c r="Q412" s="48"/>
      <c r="R412" s="412"/>
      <c r="S412" s="412"/>
      <c r="T412" s="48"/>
      <c r="U412" s="412"/>
      <c r="V412" s="412"/>
      <c r="W412" s="412"/>
      <c r="X412" s="412"/>
    </row>
    <row r="413" spans="2:24" ht="12.75" outlineLevel="1">
      <c r="B413" s="447" t="s">
        <v>234</v>
      </c>
      <c r="C413" s="447"/>
      <c r="D413" s="447"/>
      <c r="E413" s="46">
        <f aca="true" t="shared" si="97" ref="E413:L413">E286</f>
        <v>0</v>
      </c>
      <c r="F413" s="46">
        <f t="shared" si="97"/>
        <v>0</v>
      </c>
      <c r="G413" s="46">
        <f t="shared" si="94"/>
        <v>0</v>
      </c>
      <c r="H413" s="46">
        <f t="shared" si="97"/>
        <v>0</v>
      </c>
      <c r="I413" s="46">
        <f t="shared" si="97"/>
        <v>0</v>
      </c>
      <c r="J413" s="46">
        <f t="shared" si="97"/>
        <v>0</v>
      </c>
      <c r="K413" s="46">
        <v>1</v>
      </c>
      <c r="L413" s="46">
        <f t="shared" si="97"/>
        <v>0</v>
      </c>
      <c r="M413" s="404">
        <f t="shared" si="95"/>
        <v>1</v>
      </c>
      <c r="N413" s="48"/>
      <c r="O413" s="412"/>
      <c r="P413" s="412"/>
      <c r="Q413" s="48"/>
      <c r="R413" s="412"/>
      <c r="S413" s="412"/>
      <c r="T413" s="48"/>
      <c r="U413" s="412"/>
      <c r="V413" s="412"/>
      <c r="W413" s="412"/>
      <c r="X413" s="412"/>
    </row>
    <row r="414" spans="2:24" ht="12.75" outlineLevel="1">
      <c r="B414" s="447" t="s">
        <v>275</v>
      </c>
      <c r="C414" s="447"/>
      <c r="D414" s="447"/>
      <c r="E414" s="49"/>
      <c r="F414" s="49"/>
      <c r="G414" s="50"/>
      <c r="H414" s="50"/>
      <c r="I414" s="49"/>
      <c r="J414" s="49"/>
      <c r="K414" s="50"/>
      <c r="L414" s="50"/>
      <c r="M414" s="48"/>
      <c r="N414" s="48"/>
      <c r="O414" s="412"/>
      <c r="P414" s="412"/>
      <c r="Q414" s="48"/>
      <c r="R414" s="412"/>
      <c r="S414" s="412"/>
      <c r="T414" s="48"/>
      <c r="U414" s="412"/>
      <c r="V414" s="412"/>
      <c r="W414" s="412"/>
      <c r="X414" s="412"/>
    </row>
    <row r="415" spans="2:24" ht="12.75" outlineLevel="1">
      <c r="B415" s="448" t="s">
        <v>237</v>
      </c>
      <c r="C415" s="447"/>
      <c r="D415" s="447"/>
      <c r="E415" s="49"/>
      <c r="F415" s="49"/>
      <c r="G415" s="50"/>
      <c r="H415" s="50"/>
      <c r="I415" s="49"/>
      <c r="J415" s="49"/>
      <c r="K415" s="50"/>
      <c r="L415" s="50"/>
      <c r="M415" s="48"/>
      <c r="N415" s="48"/>
      <c r="O415" s="412"/>
      <c r="P415" s="412"/>
      <c r="Q415" s="48"/>
      <c r="R415" s="412"/>
      <c r="S415" s="412"/>
      <c r="T415" s="48"/>
      <c r="U415" s="412"/>
      <c r="V415" s="412"/>
      <c r="W415" s="412"/>
      <c r="X415" s="412"/>
    </row>
    <row r="416" spans="2:24" ht="12.75" outlineLevel="1">
      <c r="B416" s="447" t="s">
        <v>230</v>
      </c>
      <c r="C416" s="447"/>
      <c r="D416" s="447"/>
      <c r="E416" s="46">
        <f>E289</f>
        <v>0</v>
      </c>
      <c r="F416" s="46">
        <f aca="true" t="shared" si="98" ref="F416:L416">F289</f>
        <v>1</v>
      </c>
      <c r="G416" s="46">
        <f aca="true" t="shared" si="99" ref="G416:G421">G289</f>
        <v>0</v>
      </c>
      <c r="H416" s="46">
        <f t="shared" si="98"/>
        <v>0</v>
      </c>
      <c r="I416" s="46">
        <v>1</v>
      </c>
      <c r="J416" s="46">
        <f t="shared" si="98"/>
        <v>0</v>
      </c>
      <c r="K416" s="46">
        <v>1</v>
      </c>
      <c r="L416" s="46">
        <f t="shared" si="98"/>
        <v>0</v>
      </c>
      <c r="M416" s="404">
        <f aca="true" t="shared" si="100" ref="M416:M421">SUM(E416:L416)</f>
        <v>3</v>
      </c>
      <c r="N416" s="48"/>
      <c r="O416" s="412"/>
      <c r="P416" s="412"/>
      <c r="Q416" s="48"/>
      <c r="R416" s="412"/>
      <c r="S416" s="412"/>
      <c r="T416" s="48"/>
      <c r="U416" s="412"/>
      <c r="V416" s="412"/>
      <c r="W416" s="412"/>
      <c r="X416" s="412"/>
    </row>
    <row r="417" spans="2:24" ht="12.75" outlineLevel="1">
      <c r="B417" s="472"/>
      <c r="C417" s="447"/>
      <c r="D417" s="447"/>
      <c r="E417" s="101"/>
      <c r="F417" s="101"/>
      <c r="G417" s="101"/>
      <c r="H417" s="101"/>
      <c r="I417" s="101"/>
      <c r="J417" s="101"/>
      <c r="K417" s="101"/>
      <c r="L417" s="101"/>
      <c r="M417" s="48"/>
      <c r="N417" s="48"/>
      <c r="O417" s="412"/>
      <c r="P417" s="412"/>
      <c r="Q417" s="48"/>
      <c r="R417" s="412"/>
      <c r="S417" s="412"/>
      <c r="T417" s="48"/>
      <c r="U417" s="412"/>
      <c r="V417" s="412"/>
      <c r="W417" s="412"/>
      <c r="X417" s="412"/>
    </row>
    <row r="418" spans="2:24" ht="12.75" outlineLevel="1">
      <c r="B418" s="447" t="s">
        <v>231</v>
      </c>
      <c r="C418" s="447"/>
      <c r="D418" s="447"/>
      <c r="E418" s="46">
        <f>E291</f>
        <v>0</v>
      </c>
      <c r="F418" s="46">
        <v>1</v>
      </c>
      <c r="G418" s="46">
        <f t="shared" si="99"/>
        <v>0</v>
      </c>
      <c r="H418" s="46">
        <f aca="true" t="shared" si="101" ref="F418:L419">H291</f>
        <v>0</v>
      </c>
      <c r="I418" s="46">
        <v>1</v>
      </c>
      <c r="J418" s="46">
        <f t="shared" si="101"/>
        <v>0</v>
      </c>
      <c r="K418" s="46">
        <v>1</v>
      </c>
      <c r="L418" s="46">
        <f t="shared" si="101"/>
        <v>0</v>
      </c>
      <c r="M418" s="404">
        <f t="shared" si="100"/>
        <v>3</v>
      </c>
      <c r="N418" s="48"/>
      <c r="O418" s="412"/>
      <c r="P418" s="412"/>
      <c r="Q418" s="48"/>
      <c r="R418" s="412"/>
      <c r="S418" s="412"/>
      <c r="T418" s="48"/>
      <c r="U418" s="412"/>
      <c r="V418" s="412"/>
      <c r="W418" s="412"/>
      <c r="X418" s="412"/>
    </row>
    <row r="419" spans="2:24" ht="12.75" outlineLevel="1">
      <c r="B419" s="447" t="s">
        <v>232</v>
      </c>
      <c r="C419" s="447"/>
      <c r="D419" s="447"/>
      <c r="E419" s="46">
        <f>E292</f>
        <v>0</v>
      </c>
      <c r="F419" s="46">
        <f t="shared" si="101"/>
        <v>0</v>
      </c>
      <c r="G419" s="46">
        <f t="shared" si="99"/>
        <v>0</v>
      </c>
      <c r="H419" s="46">
        <f t="shared" si="101"/>
        <v>0</v>
      </c>
      <c r="I419" s="46">
        <v>1</v>
      </c>
      <c r="J419" s="46">
        <f t="shared" si="101"/>
        <v>0</v>
      </c>
      <c r="K419" s="46">
        <v>1</v>
      </c>
      <c r="L419" s="46">
        <f t="shared" si="101"/>
        <v>0</v>
      </c>
      <c r="M419" s="404">
        <f t="shared" si="100"/>
        <v>2</v>
      </c>
      <c r="N419" s="48"/>
      <c r="O419" s="412"/>
      <c r="P419" s="412"/>
      <c r="Q419" s="48"/>
      <c r="R419" s="412"/>
      <c r="S419" s="412"/>
      <c r="T419" s="48"/>
      <c r="U419" s="412"/>
      <c r="V419" s="412"/>
      <c r="W419" s="412"/>
      <c r="X419" s="412"/>
    </row>
    <row r="420" spans="2:24" ht="12.75" outlineLevel="1">
      <c r="B420" s="472"/>
      <c r="C420" s="447"/>
      <c r="D420" s="447"/>
      <c r="E420" s="101"/>
      <c r="F420" s="101"/>
      <c r="G420" s="101"/>
      <c r="H420" s="101"/>
      <c r="I420" s="101"/>
      <c r="J420" s="101"/>
      <c r="K420" s="101"/>
      <c r="L420" s="101"/>
      <c r="M420" s="48"/>
      <c r="N420" s="48"/>
      <c r="O420" s="412"/>
      <c r="P420" s="412"/>
      <c r="Q420" s="48"/>
      <c r="R420" s="412"/>
      <c r="S420" s="412"/>
      <c r="T420" s="48"/>
      <c r="U420" s="412"/>
      <c r="V420" s="412"/>
      <c r="W420" s="412"/>
      <c r="X420" s="412"/>
    </row>
    <row r="421" spans="2:24" ht="12.75" outlineLevel="1">
      <c r="B421" s="447" t="s">
        <v>234</v>
      </c>
      <c r="C421" s="447"/>
      <c r="D421" s="447"/>
      <c r="E421" s="46">
        <f aca="true" t="shared" si="102" ref="E421:L421">E294</f>
        <v>0</v>
      </c>
      <c r="F421" s="46">
        <f t="shared" si="102"/>
        <v>0</v>
      </c>
      <c r="G421" s="46">
        <f t="shared" si="99"/>
        <v>0</v>
      </c>
      <c r="H421" s="46">
        <f t="shared" si="102"/>
        <v>0</v>
      </c>
      <c r="I421" s="46">
        <f t="shared" si="102"/>
        <v>0</v>
      </c>
      <c r="J421" s="46">
        <f t="shared" si="102"/>
        <v>0</v>
      </c>
      <c r="K421" s="46">
        <v>1</v>
      </c>
      <c r="L421" s="46">
        <f t="shared" si="102"/>
        <v>0</v>
      </c>
      <c r="M421" s="404">
        <f t="shared" si="100"/>
        <v>1</v>
      </c>
      <c r="N421" s="48"/>
      <c r="O421" s="412"/>
      <c r="P421" s="412"/>
      <c r="Q421" s="48"/>
      <c r="R421" s="412"/>
      <c r="S421" s="412"/>
      <c r="T421" s="48"/>
      <c r="U421" s="412"/>
      <c r="V421" s="412"/>
      <c r="W421" s="412"/>
      <c r="X421" s="412"/>
    </row>
    <row r="422" spans="2:24" ht="12.75" outlineLevel="1">
      <c r="B422" s="447" t="s">
        <v>275</v>
      </c>
      <c r="C422" s="447"/>
      <c r="D422" s="447"/>
      <c r="E422" s="49"/>
      <c r="F422" s="49"/>
      <c r="G422" s="50"/>
      <c r="H422" s="50"/>
      <c r="I422" s="49"/>
      <c r="J422" s="49"/>
      <c r="K422" s="50"/>
      <c r="L422" s="50"/>
      <c r="M422" s="48"/>
      <c r="N422" s="48"/>
      <c r="O422" s="412"/>
      <c r="P422" s="412"/>
      <c r="Q422" s="48"/>
      <c r="R422" s="412"/>
      <c r="S422" s="412"/>
      <c r="T422" s="48"/>
      <c r="U422" s="412"/>
      <c r="V422" s="412"/>
      <c r="W422" s="412"/>
      <c r="X422" s="412"/>
    </row>
    <row r="423" spans="2:24" ht="12.75" outlineLevel="1">
      <c r="B423" s="448" t="s">
        <v>238</v>
      </c>
      <c r="C423" s="447"/>
      <c r="D423" s="447"/>
      <c r="E423" s="49"/>
      <c r="F423" s="49"/>
      <c r="G423" s="50"/>
      <c r="H423" s="50"/>
      <c r="I423" s="49"/>
      <c r="J423" s="49"/>
      <c r="K423" s="50"/>
      <c r="L423" s="50"/>
      <c r="M423" s="48"/>
      <c r="N423" s="48"/>
      <c r="O423" s="412"/>
      <c r="P423" s="412"/>
      <c r="Q423" s="48"/>
      <c r="R423" s="412"/>
      <c r="S423" s="412"/>
      <c r="T423" s="48"/>
      <c r="U423" s="412"/>
      <c r="V423" s="412"/>
      <c r="W423" s="412"/>
      <c r="X423" s="412"/>
    </row>
    <row r="424" spans="2:24" ht="12.75" outlineLevel="1">
      <c r="B424" s="447" t="s">
        <v>230</v>
      </c>
      <c r="C424" s="447"/>
      <c r="D424" s="447"/>
      <c r="E424" s="46">
        <f>E297</f>
        <v>0</v>
      </c>
      <c r="F424" s="46">
        <f aca="true" t="shared" si="103" ref="F424:L424">F297</f>
        <v>0</v>
      </c>
      <c r="G424" s="46">
        <f aca="true" t="shared" si="104" ref="G424:G429">G297</f>
        <v>0</v>
      </c>
      <c r="H424" s="46">
        <f t="shared" si="103"/>
        <v>0</v>
      </c>
      <c r="I424" s="46">
        <v>1</v>
      </c>
      <c r="J424" s="46">
        <f t="shared" si="103"/>
        <v>0</v>
      </c>
      <c r="K424" s="46">
        <v>1</v>
      </c>
      <c r="L424" s="46">
        <f t="shared" si="103"/>
        <v>0</v>
      </c>
      <c r="M424" s="404">
        <f aca="true" t="shared" si="105" ref="M424:M429">SUM(E424:L424)</f>
        <v>2</v>
      </c>
      <c r="N424" s="48"/>
      <c r="O424" s="412"/>
      <c r="P424" s="412"/>
      <c r="Q424" s="48"/>
      <c r="R424" s="412"/>
      <c r="S424" s="412"/>
      <c r="T424" s="48"/>
      <c r="U424" s="412"/>
      <c r="V424" s="412"/>
      <c r="W424" s="412"/>
      <c r="X424" s="412"/>
    </row>
    <row r="425" spans="2:24" ht="12.75" outlineLevel="1">
      <c r="B425" s="472"/>
      <c r="C425" s="447"/>
      <c r="D425" s="447"/>
      <c r="E425" s="101"/>
      <c r="F425" s="101"/>
      <c r="G425" s="101"/>
      <c r="H425" s="101"/>
      <c r="I425" s="101"/>
      <c r="J425" s="101"/>
      <c r="K425" s="101"/>
      <c r="L425" s="101"/>
      <c r="M425" s="48"/>
      <c r="N425" s="48"/>
      <c r="O425" s="412"/>
      <c r="P425" s="412"/>
      <c r="Q425" s="48"/>
      <c r="R425" s="412"/>
      <c r="S425" s="412"/>
      <c r="T425" s="48"/>
      <c r="U425" s="412"/>
      <c r="V425" s="412"/>
      <c r="W425" s="412"/>
      <c r="X425" s="412"/>
    </row>
    <row r="426" spans="2:24" ht="12.75" outlineLevel="1">
      <c r="B426" s="447" t="s">
        <v>231</v>
      </c>
      <c r="C426" s="447"/>
      <c r="D426" s="447"/>
      <c r="E426" s="46">
        <f>E299</f>
        <v>0</v>
      </c>
      <c r="F426" s="46">
        <f aca="true" t="shared" si="106" ref="F426:L427">F299</f>
        <v>0</v>
      </c>
      <c r="G426" s="46">
        <f t="shared" si="104"/>
        <v>0</v>
      </c>
      <c r="H426" s="46">
        <f t="shared" si="106"/>
        <v>0</v>
      </c>
      <c r="I426" s="46">
        <v>1</v>
      </c>
      <c r="J426" s="46">
        <f t="shared" si="106"/>
        <v>0</v>
      </c>
      <c r="K426" s="46">
        <v>1</v>
      </c>
      <c r="L426" s="46">
        <f t="shared" si="106"/>
        <v>0</v>
      </c>
      <c r="M426" s="404">
        <f t="shared" si="105"/>
        <v>2</v>
      </c>
      <c r="N426" s="48"/>
      <c r="O426" s="412"/>
      <c r="P426" s="412"/>
      <c r="Q426" s="48"/>
      <c r="R426" s="412"/>
      <c r="S426" s="412"/>
      <c r="T426" s="48"/>
      <c r="U426" s="412"/>
      <c r="V426" s="412"/>
      <c r="W426" s="412"/>
      <c r="X426" s="412"/>
    </row>
    <row r="427" spans="2:24" ht="12.75" outlineLevel="1">
      <c r="B427" s="447" t="s">
        <v>236</v>
      </c>
      <c r="C427" s="447"/>
      <c r="D427" s="447"/>
      <c r="E427" s="46">
        <f>E300</f>
        <v>0</v>
      </c>
      <c r="F427" s="46">
        <f t="shared" si="106"/>
        <v>0</v>
      </c>
      <c r="G427" s="46">
        <f t="shared" si="104"/>
        <v>0</v>
      </c>
      <c r="H427" s="46">
        <f t="shared" si="106"/>
        <v>0</v>
      </c>
      <c r="I427" s="46">
        <v>1</v>
      </c>
      <c r="J427" s="46">
        <f t="shared" si="106"/>
        <v>0</v>
      </c>
      <c r="K427" s="46">
        <v>1</v>
      </c>
      <c r="L427" s="46">
        <f t="shared" si="106"/>
        <v>0</v>
      </c>
      <c r="M427" s="404">
        <f t="shared" si="105"/>
        <v>2</v>
      </c>
      <c r="N427" s="48"/>
      <c r="O427" s="412"/>
      <c r="P427" s="412"/>
      <c r="Q427" s="48"/>
      <c r="R427" s="412"/>
      <c r="S427" s="412"/>
      <c r="T427" s="48"/>
      <c r="U427" s="412"/>
      <c r="V427" s="412"/>
      <c r="W427" s="412"/>
      <c r="X427" s="412"/>
    </row>
    <row r="428" spans="2:24" ht="12.75" outlineLevel="1">
      <c r="B428" s="472"/>
      <c r="C428" s="447"/>
      <c r="D428" s="447"/>
      <c r="E428" s="101"/>
      <c r="F428" s="101"/>
      <c r="G428" s="101"/>
      <c r="H428" s="101"/>
      <c r="I428" s="101"/>
      <c r="J428" s="101"/>
      <c r="K428" s="101"/>
      <c r="L428" s="101"/>
      <c r="M428" s="48"/>
      <c r="N428" s="48"/>
      <c r="O428" s="412"/>
      <c r="P428" s="412"/>
      <c r="Q428" s="48"/>
      <c r="R428" s="412"/>
      <c r="S428" s="412"/>
      <c r="T428" s="48"/>
      <c r="U428" s="412"/>
      <c r="V428" s="412"/>
      <c r="W428" s="412"/>
      <c r="X428" s="412"/>
    </row>
    <row r="429" spans="2:24" ht="12.75" outlineLevel="1">
      <c r="B429" s="447" t="s">
        <v>234</v>
      </c>
      <c r="C429" s="447"/>
      <c r="D429" s="447"/>
      <c r="E429" s="46">
        <f aca="true" t="shared" si="107" ref="E429:L429">E302</f>
        <v>0</v>
      </c>
      <c r="F429" s="46">
        <f t="shared" si="107"/>
        <v>0</v>
      </c>
      <c r="G429" s="46">
        <f t="shared" si="104"/>
        <v>0</v>
      </c>
      <c r="H429" s="46">
        <f t="shared" si="107"/>
        <v>0</v>
      </c>
      <c r="I429" s="46">
        <v>1</v>
      </c>
      <c r="J429" s="46">
        <f t="shared" si="107"/>
        <v>0</v>
      </c>
      <c r="K429" s="46">
        <v>1</v>
      </c>
      <c r="L429" s="46">
        <f t="shared" si="107"/>
        <v>0</v>
      </c>
      <c r="M429" s="404">
        <f t="shared" si="105"/>
        <v>2</v>
      </c>
      <c r="N429" s="48"/>
      <c r="O429" s="412"/>
      <c r="P429" s="412"/>
      <c r="Q429" s="48"/>
      <c r="R429" s="412"/>
      <c r="S429" s="412"/>
      <c r="T429" s="48"/>
      <c r="U429" s="412"/>
      <c r="V429" s="412"/>
      <c r="W429" s="412"/>
      <c r="X429" s="412"/>
    </row>
    <row r="430" spans="2:24" ht="12.75" outlineLevel="1">
      <c r="B430" s="447" t="s">
        <v>275</v>
      </c>
      <c r="C430" s="447"/>
      <c r="D430" s="447"/>
      <c r="E430" s="52"/>
      <c r="F430" s="52"/>
      <c r="G430" s="50"/>
      <c r="H430" s="50"/>
      <c r="I430" s="52"/>
      <c r="J430" s="52"/>
      <c r="K430" s="50"/>
      <c r="L430" s="50"/>
      <c r="M430" s="48"/>
      <c r="N430" s="48"/>
      <c r="O430" s="412"/>
      <c r="P430" s="412"/>
      <c r="Q430" s="48"/>
      <c r="R430" s="412"/>
      <c r="S430" s="412"/>
      <c r="T430" s="48"/>
      <c r="U430" s="412"/>
      <c r="V430" s="412"/>
      <c r="W430" s="412"/>
      <c r="X430" s="412"/>
    </row>
    <row r="431" spans="2:24" ht="12.75" outlineLevel="1">
      <c r="B431" s="448" t="s">
        <v>239</v>
      </c>
      <c r="C431" s="447"/>
      <c r="D431" s="447"/>
      <c r="E431" s="49"/>
      <c r="F431" s="49"/>
      <c r="G431" s="50"/>
      <c r="H431" s="50"/>
      <c r="I431" s="49"/>
      <c r="J431" s="49"/>
      <c r="K431" s="50"/>
      <c r="L431" s="50"/>
      <c r="M431" s="48"/>
      <c r="N431" s="48"/>
      <c r="O431" s="412"/>
      <c r="P431" s="412"/>
      <c r="Q431" s="48"/>
      <c r="R431" s="412"/>
      <c r="S431" s="412"/>
      <c r="T431" s="48"/>
      <c r="U431" s="412"/>
      <c r="V431" s="412"/>
      <c r="W431" s="412"/>
      <c r="X431" s="412"/>
    </row>
    <row r="432" spans="2:24" ht="12.75" outlineLevel="1">
      <c r="B432" s="447" t="s">
        <v>230</v>
      </c>
      <c r="C432" s="447"/>
      <c r="D432" s="447"/>
      <c r="E432" s="46">
        <f>E305</f>
        <v>0</v>
      </c>
      <c r="F432" s="46">
        <v>1</v>
      </c>
      <c r="G432" s="46">
        <f>G305</f>
        <v>1.1428294111222486</v>
      </c>
      <c r="H432" s="46">
        <v>1</v>
      </c>
      <c r="I432" s="46">
        <v>1</v>
      </c>
      <c r="J432" s="46">
        <f>J305</f>
        <v>0</v>
      </c>
      <c r="K432" s="46">
        <v>1</v>
      </c>
      <c r="L432" s="46">
        <f>L305</f>
        <v>1</v>
      </c>
      <c r="M432" s="404">
        <f aca="true" t="shared" si="108" ref="M432:M437">SUM(E432:L432)</f>
        <v>6.142829411122248</v>
      </c>
      <c r="N432" s="48"/>
      <c r="O432" s="412"/>
      <c r="P432" s="412"/>
      <c r="Q432" s="48"/>
      <c r="R432" s="412"/>
      <c r="S432" s="412"/>
      <c r="T432" s="48"/>
      <c r="U432" s="412"/>
      <c r="V432" s="412"/>
      <c r="W432" s="412"/>
      <c r="X432" s="412"/>
    </row>
    <row r="433" spans="2:24" ht="12.75" outlineLevel="1">
      <c r="B433" s="472"/>
      <c r="C433" s="447"/>
      <c r="D433" s="447"/>
      <c r="E433" s="101"/>
      <c r="F433" s="101"/>
      <c r="G433" s="101"/>
      <c r="H433" s="101"/>
      <c r="I433" s="101"/>
      <c r="J433" s="101"/>
      <c r="K433" s="101"/>
      <c r="L433" s="101"/>
      <c r="M433" s="48"/>
      <c r="N433" s="48"/>
      <c r="O433" s="412"/>
      <c r="P433" s="412"/>
      <c r="Q433" s="48"/>
      <c r="R433" s="412"/>
      <c r="S433" s="412"/>
      <c r="T433" s="48"/>
      <c r="U433" s="412"/>
      <c r="V433" s="412"/>
      <c r="W433" s="412"/>
      <c r="X433" s="412"/>
    </row>
    <row r="434" spans="2:24" ht="12.75" outlineLevel="1">
      <c r="B434" s="447" t="s">
        <v>231</v>
      </c>
      <c r="C434" s="447"/>
      <c r="D434" s="447"/>
      <c r="E434" s="46">
        <f>E307</f>
        <v>0</v>
      </c>
      <c r="F434" s="46">
        <v>1</v>
      </c>
      <c r="G434" s="46">
        <v>1</v>
      </c>
      <c r="H434" s="46">
        <v>1</v>
      </c>
      <c r="I434" s="46">
        <v>1</v>
      </c>
      <c r="J434" s="46">
        <f>J307</f>
        <v>0</v>
      </c>
      <c r="K434" s="46">
        <v>1</v>
      </c>
      <c r="L434" s="46">
        <v>1</v>
      </c>
      <c r="M434" s="404">
        <f t="shared" si="108"/>
        <v>6</v>
      </c>
      <c r="N434" s="48"/>
      <c r="O434" s="412"/>
      <c r="P434" s="412"/>
      <c r="Q434" s="48"/>
      <c r="R434" s="412"/>
      <c r="S434" s="412"/>
      <c r="T434" s="48"/>
      <c r="U434" s="412"/>
      <c r="V434" s="412"/>
      <c r="W434" s="412"/>
      <c r="X434" s="412"/>
    </row>
    <row r="435" spans="2:24" ht="12.75" outlineLevel="1">
      <c r="B435" s="447" t="s">
        <v>232</v>
      </c>
      <c r="C435" s="447"/>
      <c r="D435" s="447"/>
      <c r="E435" s="46">
        <f>E308</f>
        <v>0</v>
      </c>
      <c r="F435" s="46">
        <v>1</v>
      </c>
      <c r="G435" s="46">
        <v>1</v>
      </c>
      <c r="H435" s="46">
        <v>1</v>
      </c>
      <c r="I435" s="46">
        <v>1</v>
      </c>
      <c r="J435" s="46">
        <f>J308</f>
        <v>0</v>
      </c>
      <c r="K435" s="46">
        <v>1</v>
      </c>
      <c r="L435" s="46">
        <v>1</v>
      </c>
      <c r="M435" s="404">
        <f t="shared" si="108"/>
        <v>6</v>
      </c>
      <c r="N435" s="48"/>
      <c r="O435" s="412"/>
      <c r="P435" s="412"/>
      <c r="Q435" s="48"/>
      <c r="R435" s="412"/>
      <c r="S435" s="412"/>
      <c r="T435" s="48"/>
      <c r="U435" s="412"/>
      <c r="V435" s="412"/>
      <c r="W435" s="412"/>
      <c r="X435" s="412"/>
    </row>
    <row r="436" spans="2:24" ht="12.75" outlineLevel="1">
      <c r="B436" s="472"/>
      <c r="C436" s="447"/>
      <c r="D436" s="447"/>
      <c r="E436" s="101"/>
      <c r="F436" s="101"/>
      <c r="G436" s="101"/>
      <c r="H436" s="101"/>
      <c r="I436" s="101"/>
      <c r="J436" s="101"/>
      <c r="K436" s="101"/>
      <c r="L436" s="101"/>
      <c r="M436" s="48"/>
      <c r="N436" s="48"/>
      <c r="O436" s="412"/>
      <c r="P436" s="412"/>
      <c r="Q436" s="48"/>
      <c r="R436" s="412"/>
      <c r="S436" s="412"/>
      <c r="T436" s="48"/>
      <c r="U436" s="412"/>
      <c r="V436" s="412"/>
      <c r="W436" s="412"/>
      <c r="X436" s="412"/>
    </row>
    <row r="437" spans="2:24" ht="12.75" outlineLevel="1">
      <c r="B437" s="447" t="s">
        <v>234</v>
      </c>
      <c r="C437" s="447"/>
      <c r="D437" s="447"/>
      <c r="E437" s="46">
        <f aca="true" t="shared" si="109" ref="E437:L437">E310</f>
        <v>0</v>
      </c>
      <c r="F437" s="46">
        <f t="shared" si="109"/>
        <v>0</v>
      </c>
      <c r="G437" s="46">
        <f>G310</f>
        <v>0</v>
      </c>
      <c r="H437" s="46">
        <v>1</v>
      </c>
      <c r="I437" s="46">
        <v>1</v>
      </c>
      <c r="J437" s="46">
        <f t="shared" si="109"/>
        <v>0</v>
      </c>
      <c r="K437" s="46">
        <v>1</v>
      </c>
      <c r="L437" s="46">
        <f t="shared" si="109"/>
        <v>0</v>
      </c>
      <c r="M437" s="404">
        <f t="shared" si="108"/>
        <v>3</v>
      </c>
      <c r="N437" s="48"/>
      <c r="O437" s="412"/>
      <c r="P437" s="412"/>
      <c r="Q437" s="48"/>
      <c r="R437" s="412"/>
      <c r="S437" s="412"/>
      <c r="T437" s="48"/>
      <c r="U437" s="412"/>
      <c r="V437" s="412"/>
      <c r="W437" s="412"/>
      <c r="X437" s="412"/>
    </row>
    <row r="438" spans="2:24" ht="12.75" outlineLevel="1">
      <c r="B438" s="447" t="s">
        <v>275</v>
      </c>
      <c r="C438" s="447"/>
      <c r="D438" s="447"/>
      <c r="E438" s="49"/>
      <c r="F438" s="49"/>
      <c r="G438" s="50"/>
      <c r="H438" s="50"/>
      <c r="I438" s="49"/>
      <c r="J438" s="49"/>
      <c r="K438" s="50"/>
      <c r="L438" s="50"/>
      <c r="M438" s="48"/>
      <c r="N438" s="48"/>
      <c r="O438" s="412"/>
      <c r="P438" s="412"/>
      <c r="Q438" s="48"/>
      <c r="R438" s="412"/>
      <c r="S438" s="412"/>
      <c r="T438" s="48"/>
      <c r="U438" s="412"/>
      <c r="V438" s="412"/>
      <c r="W438" s="412"/>
      <c r="X438" s="412"/>
    </row>
    <row r="439" spans="2:24" ht="12.75" outlineLevel="1">
      <c r="B439" s="448" t="s">
        <v>240</v>
      </c>
      <c r="C439" s="447"/>
      <c r="D439" s="447"/>
      <c r="E439" s="49"/>
      <c r="F439" s="49"/>
      <c r="G439" s="50"/>
      <c r="H439" s="50"/>
      <c r="I439" s="49"/>
      <c r="J439" s="49"/>
      <c r="K439" s="50"/>
      <c r="L439" s="50"/>
      <c r="M439" s="48"/>
      <c r="N439" s="48"/>
      <c r="O439" s="412"/>
      <c r="P439" s="412"/>
      <c r="Q439" s="48"/>
      <c r="R439" s="412"/>
      <c r="S439" s="412"/>
      <c r="T439" s="48"/>
      <c r="U439" s="412"/>
      <c r="V439" s="412"/>
      <c r="W439" s="412"/>
      <c r="X439" s="412"/>
    </row>
    <row r="440" spans="2:24" ht="12.75" outlineLevel="1">
      <c r="B440" s="447" t="s">
        <v>230</v>
      </c>
      <c r="C440" s="447"/>
      <c r="D440" s="447"/>
      <c r="E440" s="46">
        <f>E313</f>
        <v>0</v>
      </c>
      <c r="F440" s="46">
        <f aca="true" t="shared" si="110" ref="F440:L440">F313</f>
        <v>1</v>
      </c>
      <c r="G440" s="46">
        <f aca="true" t="shared" si="111" ref="G440:G445">G313</f>
        <v>0</v>
      </c>
      <c r="H440" s="46">
        <v>1</v>
      </c>
      <c r="I440" s="46">
        <v>1</v>
      </c>
      <c r="J440" s="46">
        <f t="shared" si="110"/>
        <v>0</v>
      </c>
      <c r="K440" s="46">
        <v>1</v>
      </c>
      <c r="L440" s="46">
        <f t="shared" si="110"/>
        <v>0</v>
      </c>
      <c r="M440" s="404">
        <f aca="true" t="shared" si="112" ref="M440:M445">SUM(E440:L440)</f>
        <v>4</v>
      </c>
      <c r="N440" s="48"/>
      <c r="O440" s="412"/>
      <c r="P440" s="412"/>
      <c r="Q440" s="48"/>
      <c r="R440" s="412"/>
      <c r="S440" s="412"/>
      <c r="T440" s="48"/>
      <c r="U440" s="412"/>
      <c r="V440" s="412"/>
      <c r="W440" s="412"/>
      <c r="X440" s="412"/>
    </row>
    <row r="441" spans="2:24" ht="12.75" outlineLevel="1">
      <c r="B441" s="472"/>
      <c r="C441" s="447"/>
      <c r="D441" s="447"/>
      <c r="E441" s="101"/>
      <c r="F441" s="101"/>
      <c r="G441" s="101"/>
      <c r="H441" s="101"/>
      <c r="I441" s="101"/>
      <c r="J441" s="101"/>
      <c r="K441" s="101"/>
      <c r="L441" s="101"/>
      <c r="M441" s="48"/>
      <c r="N441" s="48"/>
      <c r="O441" s="412"/>
      <c r="P441" s="412"/>
      <c r="Q441" s="48"/>
      <c r="R441" s="412"/>
      <c r="S441" s="412"/>
      <c r="T441" s="48"/>
      <c r="U441" s="412"/>
      <c r="V441" s="412"/>
      <c r="W441" s="412"/>
      <c r="X441" s="412"/>
    </row>
    <row r="442" spans="2:24" ht="12.75" outlineLevel="1">
      <c r="B442" s="447" t="s">
        <v>231</v>
      </c>
      <c r="C442" s="447"/>
      <c r="D442" s="447"/>
      <c r="E442" s="46">
        <f>E315</f>
        <v>0</v>
      </c>
      <c r="F442" s="46">
        <v>1</v>
      </c>
      <c r="G442" s="46">
        <f t="shared" si="111"/>
        <v>0</v>
      </c>
      <c r="H442" s="46">
        <v>1</v>
      </c>
      <c r="I442" s="46">
        <v>1</v>
      </c>
      <c r="J442" s="46">
        <f>J315</f>
        <v>0</v>
      </c>
      <c r="K442" s="46">
        <v>1</v>
      </c>
      <c r="L442" s="46">
        <f>L315</f>
        <v>0</v>
      </c>
      <c r="M442" s="404">
        <f t="shared" si="112"/>
        <v>4</v>
      </c>
      <c r="N442" s="48"/>
      <c r="O442" s="412"/>
      <c r="P442" s="412"/>
      <c r="Q442" s="48"/>
      <c r="R442" s="412"/>
      <c r="S442" s="412"/>
      <c r="T442" s="48"/>
      <c r="U442" s="412"/>
      <c r="V442" s="412"/>
      <c r="W442" s="412"/>
      <c r="X442" s="412"/>
    </row>
    <row r="443" spans="2:24" ht="12.75" outlineLevel="1">
      <c r="B443" s="447" t="s">
        <v>236</v>
      </c>
      <c r="C443" s="447"/>
      <c r="D443" s="447"/>
      <c r="E443" s="46">
        <f>E316</f>
        <v>0</v>
      </c>
      <c r="F443" s="46">
        <v>1</v>
      </c>
      <c r="G443" s="46">
        <f t="shared" si="111"/>
        <v>0</v>
      </c>
      <c r="H443" s="46">
        <v>1</v>
      </c>
      <c r="I443" s="46">
        <v>1</v>
      </c>
      <c r="J443" s="46">
        <f>J316</f>
        <v>0</v>
      </c>
      <c r="K443" s="46">
        <v>1</v>
      </c>
      <c r="L443" s="46">
        <f>L316</f>
        <v>0</v>
      </c>
      <c r="M443" s="404">
        <f t="shared" si="112"/>
        <v>4</v>
      </c>
      <c r="N443" s="48"/>
      <c r="O443" s="412"/>
      <c r="P443" s="412"/>
      <c r="Q443" s="48"/>
      <c r="R443" s="412"/>
      <c r="S443" s="412"/>
      <c r="T443" s="48"/>
      <c r="U443" s="412"/>
      <c r="V443" s="412"/>
      <c r="W443" s="412"/>
      <c r="X443" s="412"/>
    </row>
    <row r="444" spans="2:24" ht="12.75" outlineLevel="1">
      <c r="B444" s="472"/>
      <c r="C444" s="447"/>
      <c r="D444" s="447"/>
      <c r="E444" s="101"/>
      <c r="F444" s="101"/>
      <c r="G444" s="101"/>
      <c r="H444" s="101"/>
      <c r="I444" s="101"/>
      <c r="J444" s="101"/>
      <c r="K444" s="101"/>
      <c r="L444" s="101"/>
      <c r="M444" s="48"/>
      <c r="N444" s="48"/>
      <c r="O444" s="412"/>
      <c r="P444" s="412"/>
      <c r="Q444" s="48"/>
      <c r="R444" s="412"/>
      <c r="S444" s="412"/>
      <c r="T444" s="48"/>
      <c r="U444" s="412"/>
      <c r="V444" s="412"/>
      <c r="W444" s="412"/>
      <c r="X444" s="412"/>
    </row>
    <row r="445" spans="2:24" ht="12.75" outlineLevel="1">
      <c r="B445" s="447" t="s">
        <v>234</v>
      </c>
      <c r="C445" s="447"/>
      <c r="D445" s="447"/>
      <c r="E445" s="46">
        <f>E318</f>
        <v>0</v>
      </c>
      <c r="F445" s="46">
        <v>1</v>
      </c>
      <c r="G445" s="46">
        <f t="shared" si="111"/>
        <v>0</v>
      </c>
      <c r="H445" s="46">
        <v>1</v>
      </c>
      <c r="I445" s="46">
        <v>1</v>
      </c>
      <c r="J445" s="46">
        <f>J318</f>
        <v>0</v>
      </c>
      <c r="K445" s="46">
        <f>K318</f>
        <v>0</v>
      </c>
      <c r="L445" s="46">
        <f>L318</f>
        <v>0</v>
      </c>
      <c r="M445" s="404">
        <f t="shared" si="112"/>
        <v>3</v>
      </c>
      <c r="N445" s="48"/>
      <c r="O445" s="412"/>
      <c r="P445" s="412"/>
      <c r="Q445" s="48"/>
      <c r="R445" s="412"/>
      <c r="S445" s="412"/>
      <c r="T445" s="48"/>
      <c r="U445" s="412"/>
      <c r="V445" s="412"/>
      <c r="W445" s="412"/>
      <c r="X445" s="412"/>
    </row>
    <row r="446" spans="2:24" ht="12.75" outlineLevel="1">
      <c r="B446" s="447" t="s">
        <v>275</v>
      </c>
      <c r="C446" s="447"/>
      <c r="D446" s="447"/>
      <c r="E446" s="52"/>
      <c r="F446" s="52"/>
      <c r="G446" s="50"/>
      <c r="H446" s="50"/>
      <c r="I446" s="52"/>
      <c r="J446" s="52"/>
      <c r="K446" s="50"/>
      <c r="L446" s="50"/>
      <c r="M446" s="48"/>
      <c r="N446" s="48"/>
      <c r="O446" s="412"/>
      <c r="P446" s="412"/>
      <c r="Q446" s="48"/>
      <c r="R446" s="412"/>
      <c r="S446" s="412"/>
      <c r="T446" s="48"/>
      <c r="U446" s="412"/>
      <c r="V446" s="412"/>
      <c r="W446" s="412"/>
      <c r="X446" s="412"/>
    </row>
    <row r="447" spans="2:24" ht="12.75" outlineLevel="1">
      <c r="B447" s="448" t="s">
        <v>241</v>
      </c>
      <c r="C447" s="447"/>
      <c r="D447" s="447"/>
      <c r="E447" s="49"/>
      <c r="F447" s="49"/>
      <c r="G447" s="50"/>
      <c r="H447" s="50"/>
      <c r="I447" s="49"/>
      <c r="J447" s="49"/>
      <c r="K447" s="50"/>
      <c r="L447" s="50"/>
      <c r="M447" s="48"/>
      <c r="N447" s="48"/>
      <c r="O447" s="412"/>
      <c r="P447" s="412"/>
      <c r="Q447" s="48"/>
      <c r="R447" s="412"/>
      <c r="S447" s="412"/>
      <c r="T447" s="48"/>
      <c r="U447" s="412"/>
      <c r="V447" s="412"/>
      <c r="W447" s="412"/>
      <c r="X447" s="412"/>
    </row>
    <row r="448" spans="2:24" ht="12.75" outlineLevel="1">
      <c r="B448" s="447" t="s">
        <v>230</v>
      </c>
      <c r="C448" s="447"/>
      <c r="D448" s="447"/>
      <c r="E448" s="46">
        <f>E321</f>
        <v>0</v>
      </c>
      <c r="F448" s="46">
        <f aca="true" t="shared" si="113" ref="F448:L448">F321</f>
        <v>0</v>
      </c>
      <c r="G448" s="46">
        <v>1</v>
      </c>
      <c r="H448" s="46">
        <v>1</v>
      </c>
      <c r="I448" s="46">
        <f t="shared" si="113"/>
        <v>0</v>
      </c>
      <c r="J448" s="46">
        <v>1</v>
      </c>
      <c r="K448" s="46">
        <f>K321</f>
        <v>0</v>
      </c>
      <c r="L448" s="46">
        <f t="shared" si="113"/>
        <v>0</v>
      </c>
      <c r="M448" s="404">
        <f>SUM(E448:L448)</f>
        <v>3</v>
      </c>
      <c r="N448" s="48"/>
      <c r="O448" s="412"/>
      <c r="P448" s="412"/>
      <c r="Q448" s="48"/>
      <c r="R448" s="412"/>
      <c r="S448" s="412"/>
      <c r="T448" s="48"/>
      <c r="U448" s="412"/>
      <c r="V448" s="412"/>
      <c r="W448" s="412"/>
      <c r="X448" s="412"/>
    </row>
    <row r="449" spans="2:24" ht="12.75" outlineLevel="1">
      <c r="B449" s="447" t="s">
        <v>242</v>
      </c>
      <c r="C449" s="447"/>
      <c r="D449" s="447"/>
      <c r="E449" s="46">
        <f>E322</f>
        <v>0</v>
      </c>
      <c r="F449" s="46">
        <f>F322</f>
        <v>0</v>
      </c>
      <c r="G449" s="46">
        <v>1</v>
      </c>
      <c r="H449" s="46">
        <v>1</v>
      </c>
      <c r="I449" s="46">
        <f>I322</f>
        <v>0</v>
      </c>
      <c r="J449" s="46">
        <v>1</v>
      </c>
      <c r="K449" s="46">
        <f>K322</f>
        <v>0</v>
      </c>
      <c r="L449" s="46">
        <f>L322</f>
        <v>0</v>
      </c>
      <c r="M449" s="404">
        <f>SUM(E449:L449)</f>
        <v>3</v>
      </c>
      <c r="N449" s="48"/>
      <c r="O449" s="412"/>
      <c r="P449" s="412"/>
      <c r="Q449" s="48"/>
      <c r="R449" s="412"/>
      <c r="S449" s="412"/>
      <c r="T449" s="48"/>
      <c r="U449" s="412"/>
      <c r="V449" s="412"/>
      <c r="W449" s="412"/>
      <c r="X449" s="412"/>
    </row>
    <row r="450" spans="2:24" ht="12.75" outlineLevel="1">
      <c r="B450" s="447" t="s">
        <v>232</v>
      </c>
      <c r="C450" s="447"/>
      <c r="D450" s="447"/>
      <c r="E450" s="46">
        <f>E323</f>
        <v>0</v>
      </c>
      <c r="F450" s="46">
        <f>F323</f>
        <v>0</v>
      </c>
      <c r="G450" s="46">
        <v>1</v>
      </c>
      <c r="H450" s="46">
        <v>1</v>
      </c>
      <c r="I450" s="46">
        <f>I323</f>
        <v>0</v>
      </c>
      <c r="J450" s="46">
        <v>1</v>
      </c>
      <c r="K450" s="46">
        <f>K323</f>
        <v>0</v>
      </c>
      <c r="L450" s="46">
        <f>L323</f>
        <v>0</v>
      </c>
      <c r="M450" s="404">
        <f>SUM(E450:L450)</f>
        <v>3</v>
      </c>
      <c r="N450" s="48"/>
      <c r="O450" s="412"/>
      <c r="P450" s="412"/>
      <c r="Q450" s="48"/>
      <c r="R450" s="412"/>
      <c r="S450" s="412"/>
      <c r="T450" s="48"/>
      <c r="U450" s="412"/>
      <c r="V450" s="412"/>
      <c r="W450" s="412"/>
      <c r="X450" s="412"/>
    </row>
    <row r="451" spans="2:24" ht="12.75" outlineLevel="1">
      <c r="B451" s="447" t="s">
        <v>233</v>
      </c>
      <c r="C451" s="447"/>
      <c r="D451" s="447"/>
      <c r="E451" s="46">
        <f aca="true" t="shared" si="114" ref="E451:L451">E324</f>
        <v>0</v>
      </c>
      <c r="F451" s="46">
        <f t="shared" si="114"/>
        <v>0</v>
      </c>
      <c r="G451" s="46">
        <v>1</v>
      </c>
      <c r="H451" s="46">
        <v>1</v>
      </c>
      <c r="I451" s="46">
        <f t="shared" si="114"/>
        <v>0</v>
      </c>
      <c r="J451" s="46">
        <v>1</v>
      </c>
      <c r="K451" s="46">
        <f>K324</f>
        <v>0</v>
      </c>
      <c r="L451" s="46">
        <f t="shared" si="114"/>
        <v>0</v>
      </c>
      <c r="M451" s="404">
        <f>SUM(E451:L451)</f>
        <v>3</v>
      </c>
      <c r="N451" s="48"/>
      <c r="O451" s="412"/>
      <c r="P451" s="412"/>
      <c r="Q451" s="48"/>
      <c r="R451" s="412"/>
      <c r="S451" s="412"/>
      <c r="T451" s="48"/>
      <c r="U451" s="412"/>
      <c r="V451" s="412"/>
      <c r="W451" s="412"/>
      <c r="X451" s="412"/>
    </row>
    <row r="452" spans="2:24" ht="12.75" outlineLevel="1">
      <c r="B452" s="447" t="s">
        <v>234</v>
      </c>
      <c r="C452" s="447"/>
      <c r="D452" s="447"/>
      <c r="E452" s="46">
        <f aca="true" t="shared" si="115" ref="E452:L452">E325</f>
        <v>0</v>
      </c>
      <c r="F452" s="46">
        <f t="shared" si="115"/>
        <v>0</v>
      </c>
      <c r="G452" s="46">
        <f>G325</f>
        <v>0</v>
      </c>
      <c r="H452" s="46">
        <v>1</v>
      </c>
      <c r="I452" s="46">
        <f t="shared" si="115"/>
        <v>0</v>
      </c>
      <c r="J452" s="46">
        <f t="shared" si="115"/>
        <v>0</v>
      </c>
      <c r="K452" s="46">
        <f>K325</f>
        <v>0</v>
      </c>
      <c r="L452" s="46">
        <f t="shared" si="115"/>
        <v>0</v>
      </c>
      <c r="M452" s="404">
        <f>SUM(E452:L452)</f>
        <v>1</v>
      </c>
      <c r="N452" s="48"/>
      <c r="O452" s="412"/>
      <c r="P452" s="412"/>
      <c r="Q452" s="48"/>
      <c r="R452" s="412"/>
      <c r="S452" s="412"/>
      <c r="T452" s="48"/>
      <c r="U452" s="412"/>
      <c r="V452" s="412"/>
      <c r="W452" s="412"/>
      <c r="X452" s="412"/>
    </row>
    <row r="453" spans="2:24" ht="12.75" outlineLevel="1">
      <c r="B453" s="447" t="s">
        <v>275</v>
      </c>
      <c r="C453" s="447"/>
      <c r="D453" s="447"/>
      <c r="E453" s="52"/>
      <c r="F453" s="52"/>
      <c r="G453" s="50"/>
      <c r="H453" s="50"/>
      <c r="I453" s="52"/>
      <c r="J453" s="52"/>
      <c r="K453" s="50"/>
      <c r="L453" s="50"/>
      <c r="M453" s="48"/>
      <c r="N453" s="48"/>
      <c r="O453" s="412"/>
      <c r="P453" s="412"/>
      <c r="Q453" s="48"/>
      <c r="R453" s="412"/>
      <c r="S453" s="412"/>
      <c r="T453" s="48"/>
      <c r="U453" s="412"/>
      <c r="V453" s="412"/>
      <c r="W453" s="412"/>
      <c r="X453" s="412"/>
    </row>
    <row r="454" spans="2:24" ht="12.75" outlineLevel="1">
      <c r="B454" s="448" t="s">
        <v>243</v>
      </c>
      <c r="C454" s="447"/>
      <c r="D454" s="447"/>
      <c r="E454" s="49"/>
      <c r="F454" s="49"/>
      <c r="G454" s="50"/>
      <c r="H454" s="50"/>
      <c r="I454" s="49"/>
      <c r="J454" s="49"/>
      <c r="K454" s="50"/>
      <c r="L454" s="50"/>
      <c r="M454" s="48"/>
      <c r="N454" s="48"/>
      <c r="O454" s="412"/>
      <c r="P454" s="412"/>
      <c r="Q454" s="48"/>
      <c r="R454" s="412"/>
      <c r="S454" s="412"/>
      <c r="T454" s="48"/>
      <c r="U454" s="412"/>
      <c r="V454" s="412"/>
      <c r="W454" s="412"/>
      <c r="X454" s="412"/>
    </row>
    <row r="455" spans="2:24" ht="12.75" outlineLevel="1">
      <c r="B455" s="447" t="s">
        <v>230</v>
      </c>
      <c r="C455" s="447"/>
      <c r="D455" s="447"/>
      <c r="E455" s="46">
        <v>1</v>
      </c>
      <c r="F455" s="46">
        <v>1</v>
      </c>
      <c r="G455" s="46">
        <v>1</v>
      </c>
      <c r="H455" s="46">
        <v>1</v>
      </c>
      <c r="I455" s="46">
        <v>1</v>
      </c>
      <c r="J455" s="46">
        <v>1</v>
      </c>
      <c r="K455" s="46">
        <v>1</v>
      </c>
      <c r="L455" s="46">
        <v>1</v>
      </c>
      <c r="M455" s="404">
        <f>SUM(E455:L455)</f>
        <v>8</v>
      </c>
      <c r="N455" s="48"/>
      <c r="O455" s="412"/>
      <c r="P455" s="412"/>
      <c r="Q455" s="48"/>
      <c r="R455" s="412"/>
      <c r="S455" s="412"/>
      <c r="T455" s="48"/>
      <c r="U455" s="412"/>
      <c r="V455" s="412"/>
      <c r="W455" s="412"/>
      <c r="X455" s="412"/>
    </row>
    <row r="456" spans="2:24" ht="12.75" outlineLevel="1">
      <c r="B456" s="447" t="s">
        <v>242</v>
      </c>
      <c r="C456" s="447"/>
      <c r="D456" s="447"/>
      <c r="E456" s="46">
        <v>1</v>
      </c>
      <c r="F456" s="46">
        <v>1</v>
      </c>
      <c r="G456" s="46">
        <v>1</v>
      </c>
      <c r="H456" s="46">
        <v>1</v>
      </c>
      <c r="I456" s="46">
        <v>1</v>
      </c>
      <c r="J456" s="46">
        <v>1</v>
      </c>
      <c r="K456" s="46">
        <v>1</v>
      </c>
      <c r="L456" s="46">
        <v>1</v>
      </c>
      <c r="M456" s="404">
        <f>SUM(E456:L456)</f>
        <v>8</v>
      </c>
      <c r="N456" s="48"/>
      <c r="O456" s="412"/>
      <c r="P456" s="412"/>
      <c r="Q456" s="48"/>
      <c r="R456" s="412"/>
      <c r="S456" s="412"/>
      <c r="T456" s="48"/>
      <c r="U456" s="412"/>
      <c r="V456" s="412"/>
      <c r="W456" s="412"/>
      <c r="X456" s="412"/>
    </row>
    <row r="457" spans="2:24" ht="12.75" outlineLevel="1">
      <c r="B457" s="447" t="s">
        <v>232</v>
      </c>
      <c r="C457" s="447"/>
      <c r="D457" s="447"/>
      <c r="E457" s="46">
        <v>1</v>
      </c>
      <c r="F457" s="46">
        <v>1</v>
      </c>
      <c r="G457" s="46">
        <v>1</v>
      </c>
      <c r="H457" s="46">
        <v>1</v>
      </c>
      <c r="I457" s="46">
        <v>1</v>
      </c>
      <c r="J457" s="46">
        <v>1</v>
      </c>
      <c r="K457" s="46">
        <v>1</v>
      </c>
      <c r="L457" s="46">
        <v>1</v>
      </c>
      <c r="M457" s="404">
        <f>SUM(E457:L457)</f>
        <v>8</v>
      </c>
      <c r="N457" s="48"/>
      <c r="O457" s="412"/>
      <c r="P457" s="412"/>
      <c r="Q457" s="48"/>
      <c r="R457" s="412"/>
      <c r="S457" s="412"/>
      <c r="T457" s="48"/>
      <c r="U457" s="412"/>
      <c r="V457" s="412"/>
      <c r="W457" s="412"/>
      <c r="X457" s="412"/>
    </row>
    <row r="458" spans="2:24" ht="12.75" outlineLevel="1">
      <c r="B458" s="447" t="s">
        <v>233</v>
      </c>
      <c r="C458" s="447"/>
      <c r="D458" s="447"/>
      <c r="E458" s="46">
        <v>1</v>
      </c>
      <c r="F458" s="46">
        <v>1</v>
      </c>
      <c r="G458" s="46">
        <v>1</v>
      </c>
      <c r="H458" s="46">
        <v>1</v>
      </c>
      <c r="I458" s="46">
        <v>1</v>
      </c>
      <c r="J458" s="46">
        <v>1</v>
      </c>
      <c r="K458" s="46">
        <v>1</v>
      </c>
      <c r="L458" s="46">
        <v>1</v>
      </c>
      <c r="M458" s="404">
        <f>SUM(E458:L458)</f>
        <v>8</v>
      </c>
      <c r="N458" s="48"/>
      <c r="O458" s="412"/>
      <c r="P458" s="412"/>
      <c r="Q458" s="48"/>
      <c r="R458" s="412"/>
      <c r="S458" s="412"/>
      <c r="T458" s="48"/>
      <c r="U458" s="412"/>
      <c r="V458" s="412"/>
      <c r="W458" s="412"/>
      <c r="X458" s="412"/>
    </row>
    <row r="459" spans="2:24" ht="12.75" outlineLevel="1">
      <c r="B459" s="447" t="s">
        <v>234</v>
      </c>
      <c r="C459" s="447"/>
      <c r="D459" s="447"/>
      <c r="E459" s="46">
        <v>1</v>
      </c>
      <c r="F459" s="46">
        <f>F332</f>
        <v>0</v>
      </c>
      <c r="G459" s="46">
        <v>1</v>
      </c>
      <c r="H459" s="46">
        <v>1</v>
      </c>
      <c r="I459" s="46">
        <f>I332</f>
        <v>0</v>
      </c>
      <c r="J459" s="46">
        <v>1</v>
      </c>
      <c r="K459" s="46">
        <v>1</v>
      </c>
      <c r="L459" s="46">
        <f>L332</f>
        <v>0</v>
      </c>
      <c r="M459" s="404">
        <f>SUM(E459:L459)</f>
        <v>5</v>
      </c>
      <c r="N459" s="48"/>
      <c r="O459" s="412"/>
      <c r="P459" s="412"/>
      <c r="Q459" s="48"/>
      <c r="R459" s="412"/>
      <c r="S459" s="412"/>
      <c r="T459" s="48"/>
      <c r="U459" s="412"/>
      <c r="V459" s="412"/>
      <c r="W459" s="412"/>
      <c r="X459" s="412"/>
    </row>
    <row r="460" spans="2:24" ht="12.75" outlineLevel="1">
      <c r="B460" s="447" t="s">
        <v>275</v>
      </c>
      <c r="C460" s="447"/>
      <c r="D460" s="447"/>
      <c r="E460" s="49"/>
      <c r="F460" s="49"/>
      <c r="G460" s="50"/>
      <c r="H460" s="50"/>
      <c r="I460" s="49"/>
      <c r="J460" s="49"/>
      <c r="K460" s="50"/>
      <c r="L460" s="50"/>
      <c r="M460" s="48"/>
      <c r="N460" s="48"/>
      <c r="O460" s="412"/>
      <c r="P460" s="412"/>
      <c r="Q460" s="48"/>
      <c r="R460" s="412"/>
      <c r="S460" s="412"/>
      <c r="T460" s="48"/>
      <c r="U460" s="412"/>
      <c r="V460" s="412"/>
      <c r="W460" s="412"/>
      <c r="X460" s="412"/>
    </row>
    <row r="461" spans="2:24" ht="12.75" outlineLevel="1">
      <c r="B461" s="448" t="s">
        <v>244</v>
      </c>
      <c r="C461" s="447"/>
      <c r="D461" s="447"/>
      <c r="E461" s="49"/>
      <c r="F461" s="49"/>
      <c r="G461" s="50"/>
      <c r="H461" s="50"/>
      <c r="I461" s="49"/>
      <c r="J461" s="49"/>
      <c r="K461" s="50"/>
      <c r="L461" s="50"/>
      <c r="M461" s="48"/>
      <c r="N461" s="48"/>
      <c r="O461" s="412"/>
      <c r="P461" s="412"/>
      <c r="Q461" s="48"/>
      <c r="R461" s="412"/>
      <c r="S461" s="412"/>
      <c r="T461" s="48"/>
      <c r="U461" s="412"/>
      <c r="V461" s="412"/>
      <c r="W461" s="412"/>
      <c r="X461" s="412"/>
    </row>
    <row r="462" spans="2:24" ht="12.75" outlineLevel="1">
      <c r="B462" s="447" t="s">
        <v>230</v>
      </c>
      <c r="C462" s="447"/>
      <c r="D462" s="447"/>
      <c r="E462" s="46">
        <v>1</v>
      </c>
      <c r="F462" s="46">
        <v>1</v>
      </c>
      <c r="G462" s="46">
        <v>1</v>
      </c>
      <c r="H462" s="46">
        <v>1</v>
      </c>
      <c r="I462" s="46">
        <v>1</v>
      </c>
      <c r="J462" s="46">
        <v>1</v>
      </c>
      <c r="K462" s="46">
        <v>1</v>
      </c>
      <c r="L462" s="46">
        <v>1</v>
      </c>
      <c r="M462" s="404">
        <f>SUM(E462:L462)</f>
        <v>8</v>
      </c>
      <c r="N462" s="48"/>
      <c r="O462" s="412"/>
      <c r="P462" s="412"/>
      <c r="Q462" s="48"/>
      <c r="R462" s="412"/>
      <c r="S462" s="412"/>
      <c r="T462" s="48"/>
      <c r="U462" s="412"/>
      <c r="V462" s="412"/>
      <c r="W462" s="412"/>
      <c r="X462" s="412"/>
    </row>
    <row r="463" spans="2:24" ht="12.75" outlineLevel="1">
      <c r="B463" s="447" t="s">
        <v>242</v>
      </c>
      <c r="C463" s="447"/>
      <c r="D463" s="447"/>
      <c r="E463" s="46">
        <v>1</v>
      </c>
      <c r="F463" s="46">
        <v>1</v>
      </c>
      <c r="G463" s="46">
        <v>1</v>
      </c>
      <c r="H463" s="46">
        <v>1</v>
      </c>
      <c r="I463" s="46">
        <v>1</v>
      </c>
      <c r="J463" s="46">
        <v>1</v>
      </c>
      <c r="K463" s="46">
        <v>1</v>
      </c>
      <c r="L463" s="46">
        <v>1</v>
      </c>
      <c r="M463" s="404">
        <f>SUM(E463:L463)</f>
        <v>8</v>
      </c>
      <c r="N463" s="48"/>
      <c r="O463" s="412"/>
      <c r="P463" s="412"/>
      <c r="Q463" s="48"/>
      <c r="R463" s="412"/>
      <c r="S463" s="412"/>
      <c r="T463" s="48"/>
      <c r="U463" s="412"/>
      <c r="V463" s="412"/>
      <c r="W463" s="412"/>
      <c r="X463" s="412"/>
    </row>
    <row r="464" spans="2:24" ht="12.75" outlineLevel="1">
      <c r="B464" s="447" t="s">
        <v>232</v>
      </c>
      <c r="C464" s="447"/>
      <c r="D464" s="447"/>
      <c r="E464" s="46">
        <v>1</v>
      </c>
      <c r="F464" s="46">
        <v>1</v>
      </c>
      <c r="G464" s="46">
        <v>1</v>
      </c>
      <c r="H464" s="46">
        <v>1</v>
      </c>
      <c r="I464" s="46">
        <v>1</v>
      </c>
      <c r="J464" s="46">
        <v>1</v>
      </c>
      <c r="K464" s="46">
        <v>1</v>
      </c>
      <c r="L464" s="46">
        <v>1</v>
      </c>
      <c r="M464" s="404">
        <f>SUM(E464:L464)</f>
        <v>8</v>
      </c>
      <c r="N464" s="48"/>
      <c r="O464" s="412"/>
      <c r="P464" s="412"/>
      <c r="Q464" s="48"/>
      <c r="R464" s="412"/>
      <c r="S464" s="412"/>
      <c r="T464" s="48"/>
      <c r="U464" s="412"/>
      <c r="V464" s="412"/>
      <c r="W464" s="412"/>
      <c r="X464" s="412"/>
    </row>
    <row r="465" spans="2:24" ht="12.75" outlineLevel="1">
      <c r="B465" s="447" t="s">
        <v>233</v>
      </c>
      <c r="C465" s="447"/>
      <c r="D465" s="447"/>
      <c r="E465" s="46">
        <v>1</v>
      </c>
      <c r="F465" s="46">
        <v>1</v>
      </c>
      <c r="G465" s="46">
        <v>1</v>
      </c>
      <c r="H465" s="46">
        <v>1</v>
      </c>
      <c r="I465" s="46">
        <v>1</v>
      </c>
      <c r="J465" s="46">
        <v>1</v>
      </c>
      <c r="K465" s="46">
        <v>1</v>
      </c>
      <c r="L465" s="46">
        <v>1</v>
      </c>
      <c r="M465" s="404">
        <f>SUM(E465:L465)</f>
        <v>8</v>
      </c>
      <c r="N465" s="48"/>
      <c r="O465" s="412"/>
      <c r="P465" s="412"/>
      <c r="Q465" s="48"/>
      <c r="R465" s="412"/>
      <c r="S465" s="412"/>
      <c r="T465" s="48"/>
      <c r="U465" s="412"/>
      <c r="V465" s="412"/>
      <c r="W465" s="412"/>
      <c r="X465" s="412"/>
    </row>
    <row r="466" spans="2:24" ht="12.75" outlineLevel="1">
      <c r="B466" s="447" t="s">
        <v>234</v>
      </c>
      <c r="C466" s="447"/>
      <c r="D466" s="447"/>
      <c r="E466" s="46">
        <v>1</v>
      </c>
      <c r="F466" s="46">
        <f>F339</f>
        <v>0</v>
      </c>
      <c r="G466" s="46">
        <v>1</v>
      </c>
      <c r="H466" s="46">
        <v>1</v>
      </c>
      <c r="I466" s="46">
        <f>I339</f>
        <v>0</v>
      </c>
      <c r="J466" s="46">
        <v>1</v>
      </c>
      <c r="K466" s="46">
        <v>1</v>
      </c>
      <c r="L466" s="46">
        <f>L339</f>
        <v>0</v>
      </c>
      <c r="M466" s="404">
        <f>SUM(E466:L466)</f>
        <v>5</v>
      </c>
      <c r="N466" s="48"/>
      <c r="O466" s="412"/>
      <c r="P466" s="412"/>
      <c r="Q466" s="48"/>
      <c r="R466" s="412"/>
      <c r="S466" s="412"/>
      <c r="T466" s="48"/>
      <c r="U466" s="412"/>
      <c r="V466" s="412"/>
      <c r="W466" s="412"/>
      <c r="X466" s="412"/>
    </row>
    <row r="467" spans="2:24" ht="12.75" outlineLevel="1">
      <c r="B467" s="447" t="s">
        <v>275</v>
      </c>
      <c r="C467" s="447"/>
      <c r="D467" s="447"/>
      <c r="E467" s="49"/>
      <c r="F467" s="49"/>
      <c r="G467" s="50"/>
      <c r="H467" s="50"/>
      <c r="I467" s="49"/>
      <c r="J467" s="49"/>
      <c r="K467" s="50"/>
      <c r="L467" s="50"/>
      <c r="M467" s="48"/>
      <c r="N467" s="48"/>
      <c r="O467" s="412"/>
      <c r="P467" s="412"/>
      <c r="Q467" s="48"/>
      <c r="R467" s="412"/>
      <c r="S467" s="412"/>
      <c r="T467" s="48"/>
      <c r="U467" s="412"/>
      <c r="V467" s="412"/>
      <c r="W467" s="412"/>
      <c r="X467" s="412"/>
    </row>
    <row r="468" spans="2:24" ht="12.75" outlineLevel="1">
      <c r="B468" s="448" t="s">
        <v>245</v>
      </c>
      <c r="C468" s="447"/>
      <c r="D468" s="447"/>
      <c r="E468" s="49"/>
      <c r="F468" s="49"/>
      <c r="G468" s="50"/>
      <c r="H468" s="50"/>
      <c r="I468" s="49"/>
      <c r="J468" s="49"/>
      <c r="K468" s="50"/>
      <c r="L468" s="50"/>
      <c r="M468" s="48"/>
      <c r="N468" s="48"/>
      <c r="O468" s="412"/>
      <c r="P468" s="412"/>
      <c r="Q468" s="48"/>
      <c r="R468" s="412"/>
      <c r="S468" s="412"/>
      <c r="T468" s="48"/>
      <c r="U468" s="412"/>
      <c r="V468" s="412"/>
      <c r="W468" s="412"/>
      <c r="X468" s="412"/>
    </row>
    <row r="469" spans="2:24" ht="12.75" outlineLevel="1">
      <c r="B469" s="447" t="s">
        <v>230</v>
      </c>
      <c r="C469" s="447"/>
      <c r="D469" s="447"/>
      <c r="E469" s="46">
        <v>1</v>
      </c>
      <c r="F469" s="46">
        <v>1</v>
      </c>
      <c r="G469" s="46">
        <f>G342</f>
        <v>0</v>
      </c>
      <c r="H469" s="46">
        <v>1</v>
      </c>
      <c r="I469" s="46">
        <v>1</v>
      </c>
      <c r="J469" s="46">
        <v>1</v>
      </c>
      <c r="K469" s="46">
        <v>1</v>
      </c>
      <c r="L469" s="46">
        <v>1</v>
      </c>
      <c r="M469" s="404">
        <f>SUM(E469:L469)</f>
        <v>7</v>
      </c>
      <c r="N469" s="48"/>
      <c r="O469" s="412"/>
      <c r="P469" s="412"/>
      <c r="Q469" s="48"/>
      <c r="R469" s="412"/>
      <c r="S469" s="412"/>
      <c r="T469" s="48"/>
      <c r="U469" s="412"/>
      <c r="V469" s="412"/>
      <c r="W469" s="412"/>
      <c r="X469" s="412"/>
    </row>
    <row r="470" spans="2:24" ht="12.75" outlineLevel="1">
      <c r="B470" s="447" t="s">
        <v>242</v>
      </c>
      <c r="C470" s="447"/>
      <c r="D470" s="447"/>
      <c r="E470" s="46">
        <v>1</v>
      </c>
      <c r="F470" s="46">
        <v>1</v>
      </c>
      <c r="G470" s="46">
        <f>G343</f>
        <v>0</v>
      </c>
      <c r="H470" s="46">
        <v>1</v>
      </c>
      <c r="I470" s="46">
        <v>1</v>
      </c>
      <c r="J470" s="46">
        <v>1</v>
      </c>
      <c r="K470" s="46">
        <v>1</v>
      </c>
      <c r="L470" s="46">
        <v>1</v>
      </c>
      <c r="M470" s="404">
        <f>SUM(E470:L470)</f>
        <v>7</v>
      </c>
      <c r="N470" s="48"/>
      <c r="O470" s="412"/>
      <c r="P470" s="412"/>
      <c r="Q470" s="48"/>
      <c r="R470" s="412"/>
      <c r="S470" s="412"/>
      <c r="T470" s="48"/>
      <c r="U470" s="412"/>
      <c r="V470" s="412"/>
      <c r="W470" s="412"/>
      <c r="X470" s="412"/>
    </row>
    <row r="471" spans="2:24" ht="12.75" outlineLevel="1">
      <c r="B471" s="447" t="s">
        <v>246</v>
      </c>
      <c r="C471" s="447"/>
      <c r="D471" s="447"/>
      <c r="E471" s="46">
        <v>1</v>
      </c>
      <c r="F471" s="46">
        <v>1</v>
      </c>
      <c r="G471" s="46">
        <f>G344</f>
        <v>0</v>
      </c>
      <c r="H471" s="46">
        <v>1</v>
      </c>
      <c r="I471" s="46">
        <v>1</v>
      </c>
      <c r="J471" s="46">
        <v>1</v>
      </c>
      <c r="K471" s="46">
        <v>1</v>
      </c>
      <c r="L471" s="46">
        <v>1</v>
      </c>
      <c r="M471" s="404">
        <f>SUM(E471:L471)</f>
        <v>7</v>
      </c>
      <c r="N471" s="48"/>
      <c r="O471" s="412"/>
      <c r="P471" s="412"/>
      <c r="Q471" s="48"/>
      <c r="R471" s="412"/>
      <c r="S471" s="412"/>
      <c r="T471" s="48"/>
      <c r="U471" s="412"/>
      <c r="V471" s="412"/>
      <c r="W471" s="412"/>
      <c r="X471" s="412"/>
    </row>
    <row r="472" spans="2:24" ht="12.75" outlineLevel="1">
      <c r="B472" s="447" t="s">
        <v>233</v>
      </c>
      <c r="C472" s="447"/>
      <c r="D472" s="447"/>
      <c r="E472" s="46">
        <v>1</v>
      </c>
      <c r="F472" s="46">
        <v>1</v>
      </c>
      <c r="G472" s="46">
        <f>G345</f>
        <v>0</v>
      </c>
      <c r="H472" s="46">
        <v>1</v>
      </c>
      <c r="I472" s="46">
        <v>1</v>
      </c>
      <c r="J472" s="46">
        <v>1</v>
      </c>
      <c r="K472" s="46">
        <v>1</v>
      </c>
      <c r="L472" s="46">
        <v>1</v>
      </c>
      <c r="M472" s="404">
        <f>SUM(E472:L472)</f>
        <v>7</v>
      </c>
      <c r="N472" s="48"/>
      <c r="O472" s="412"/>
      <c r="P472" s="412"/>
      <c r="Q472" s="48"/>
      <c r="R472" s="412"/>
      <c r="S472" s="412"/>
      <c r="T472" s="48"/>
      <c r="U472" s="412"/>
      <c r="V472" s="412"/>
      <c r="W472" s="412"/>
      <c r="X472" s="412"/>
    </row>
    <row r="473" spans="2:24" ht="12.75" outlineLevel="1">
      <c r="B473" s="447" t="s">
        <v>234</v>
      </c>
      <c r="C473" s="447"/>
      <c r="D473" s="447"/>
      <c r="E473" s="46">
        <v>1</v>
      </c>
      <c r="F473" s="46">
        <f aca="true" t="shared" si="116" ref="F473:L473">F346</f>
        <v>0</v>
      </c>
      <c r="G473" s="46">
        <f>G346</f>
        <v>0</v>
      </c>
      <c r="H473" s="46">
        <v>1</v>
      </c>
      <c r="I473" s="46">
        <f t="shared" si="116"/>
        <v>0</v>
      </c>
      <c r="J473" s="46">
        <v>1</v>
      </c>
      <c r="K473" s="46">
        <v>1</v>
      </c>
      <c r="L473" s="46">
        <f t="shared" si="116"/>
        <v>0</v>
      </c>
      <c r="M473" s="404">
        <f>SUM(E473:L473)</f>
        <v>4</v>
      </c>
      <c r="N473" s="48"/>
      <c r="O473" s="412"/>
      <c r="P473" s="412"/>
      <c r="Q473" s="48"/>
      <c r="R473" s="412"/>
      <c r="S473" s="412"/>
      <c r="T473" s="48"/>
      <c r="U473" s="412"/>
      <c r="V473" s="412"/>
      <c r="W473" s="412"/>
      <c r="X473" s="412"/>
    </row>
    <row r="474" spans="2:24" ht="12.75" outlineLevel="1">
      <c r="B474" s="447" t="s">
        <v>275</v>
      </c>
      <c r="C474" s="447"/>
      <c r="D474" s="447"/>
      <c r="E474" s="49"/>
      <c r="F474" s="49"/>
      <c r="G474" s="50"/>
      <c r="H474" s="50"/>
      <c r="I474" s="49"/>
      <c r="J474" s="49"/>
      <c r="K474" s="50"/>
      <c r="L474" s="50"/>
      <c r="M474" s="48"/>
      <c r="N474" s="48"/>
      <c r="O474" s="412"/>
      <c r="P474" s="412"/>
      <c r="Q474" s="48"/>
      <c r="R474" s="412"/>
      <c r="S474" s="412"/>
      <c r="T474" s="48"/>
      <c r="U474" s="412"/>
      <c r="V474" s="412"/>
      <c r="W474" s="412"/>
      <c r="X474" s="412"/>
    </row>
    <row r="475" spans="2:24" ht="12.75" outlineLevel="1">
      <c r="B475" s="550" t="s">
        <v>247</v>
      </c>
      <c r="C475" s="454"/>
      <c r="D475" s="454"/>
      <c r="E475" s="49"/>
      <c r="F475" s="49"/>
      <c r="G475" s="50"/>
      <c r="H475" s="50"/>
      <c r="I475" s="49"/>
      <c r="J475" s="49"/>
      <c r="K475" s="50"/>
      <c r="L475" s="50"/>
      <c r="M475" s="48"/>
      <c r="N475" s="48"/>
      <c r="O475" s="412"/>
      <c r="P475" s="412"/>
      <c r="Q475" s="48"/>
      <c r="R475" s="412"/>
      <c r="S475" s="412"/>
      <c r="T475" s="48"/>
      <c r="U475" s="412"/>
      <c r="V475" s="412"/>
      <c r="W475" s="412"/>
      <c r="X475" s="412"/>
    </row>
    <row r="476" spans="2:24" ht="12.75" outlineLevel="1">
      <c r="B476" s="551" t="s">
        <v>230</v>
      </c>
      <c r="C476" s="454"/>
      <c r="D476" s="454"/>
      <c r="E476" s="61"/>
      <c r="F476" s="60"/>
      <c r="G476" s="58"/>
      <c r="H476" s="58"/>
      <c r="I476" s="60"/>
      <c r="J476" s="60"/>
      <c r="K476" s="58"/>
      <c r="L476" s="58"/>
      <c r="M476" s="58"/>
      <c r="N476" s="48"/>
      <c r="O476" s="412"/>
      <c r="P476" s="412"/>
      <c r="Q476" s="48"/>
      <c r="R476" s="412"/>
      <c r="S476" s="412"/>
      <c r="T476" s="48"/>
      <c r="U476" s="412"/>
      <c r="V476" s="412"/>
      <c r="W476" s="412"/>
      <c r="X476" s="412"/>
    </row>
    <row r="477" spans="2:24" ht="12.75" outlineLevel="1">
      <c r="B477" s="551" t="s">
        <v>242</v>
      </c>
      <c r="C477" s="454"/>
      <c r="D477" s="454"/>
      <c r="E477" s="61"/>
      <c r="F477" s="60"/>
      <c r="G477" s="58"/>
      <c r="H477" s="58"/>
      <c r="I477" s="60"/>
      <c r="J477" s="60"/>
      <c r="K477" s="58"/>
      <c r="L477" s="58"/>
      <c r="M477" s="58"/>
      <c r="N477" s="48"/>
      <c r="O477" s="412"/>
      <c r="P477" s="412"/>
      <c r="Q477" s="48"/>
      <c r="R477" s="412"/>
      <c r="S477" s="412"/>
      <c r="T477" s="48"/>
      <c r="U477" s="412"/>
      <c r="V477" s="412"/>
      <c r="W477" s="412"/>
      <c r="X477" s="412"/>
    </row>
    <row r="478" spans="2:24" ht="12.75" outlineLevel="1">
      <c r="B478" s="551" t="s">
        <v>246</v>
      </c>
      <c r="C478" s="454"/>
      <c r="D478" s="454"/>
      <c r="E478" s="61"/>
      <c r="F478" s="60"/>
      <c r="G478" s="58"/>
      <c r="H478" s="58"/>
      <c r="I478" s="60"/>
      <c r="J478" s="60"/>
      <c r="K478" s="58"/>
      <c r="L478" s="58"/>
      <c r="M478" s="58"/>
      <c r="N478" s="48"/>
      <c r="O478" s="412"/>
      <c r="P478" s="412"/>
      <c r="Q478" s="48"/>
      <c r="R478" s="412"/>
      <c r="S478" s="412"/>
      <c r="T478" s="48"/>
      <c r="U478" s="412"/>
      <c r="V478" s="412"/>
      <c r="W478" s="412"/>
      <c r="X478" s="412"/>
    </row>
    <row r="479" spans="2:24" ht="12.75" outlineLevel="1">
      <c r="B479" s="551" t="s">
        <v>233</v>
      </c>
      <c r="C479" s="454"/>
      <c r="D479" s="454"/>
      <c r="E479" s="61"/>
      <c r="F479" s="60"/>
      <c r="G479" s="58"/>
      <c r="H479" s="58"/>
      <c r="I479" s="60"/>
      <c r="J479" s="60"/>
      <c r="K479" s="58"/>
      <c r="L479" s="58"/>
      <c r="M479" s="58"/>
      <c r="N479" s="48"/>
      <c r="O479" s="412"/>
      <c r="P479" s="412"/>
      <c r="Q479" s="48"/>
      <c r="R479" s="412"/>
      <c r="S479" s="412"/>
      <c r="T479" s="48"/>
      <c r="U479" s="412"/>
      <c r="V479" s="412"/>
      <c r="W479" s="412"/>
      <c r="X479" s="412"/>
    </row>
    <row r="480" spans="2:24" ht="12.75" outlineLevel="1">
      <c r="B480" s="551" t="s">
        <v>275</v>
      </c>
      <c r="C480" s="454"/>
      <c r="D480" s="454"/>
      <c r="E480" s="49"/>
      <c r="F480" s="49"/>
      <c r="G480" s="50"/>
      <c r="H480" s="50"/>
      <c r="I480" s="49"/>
      <c r="J480" s="49"/>
      <c r="K480" s="50"/>
      <c r="L480" s="50"/>
      <c r="M480" s="50"/>
      <c r="N480" s="48"/>
      <c r="O480" s="412"/>
      <c r="P480" s="412"/>
      <c r="Q480" s="48"/>
      <c r="R480" s="412"/>
      <c r="S480" s="412"/>
      <c r="T480" s="48"/>
      <c r="U480" s="412"/>
      <c r="V480" s="412"/>
      <c r="W480" s="412"/>
      <c r="X480" s="412"/>
    </row>
    <row r="481" spans="2:24" ht="12.75" outlineLevel="1">
      <c r="B481" s="550" t="s">
        <v>248</v>
      </c>
      <c r="C481" s="454"/>
      <c r="D481" s="454"/>
      <c r="E481" s="49"/>
      <c r="F481" s="49"/>
      <c r="G481" s="50"/>
      <c r="H481" s="50"/>
      <c r="I481" s="49"/>
      <c r="J481" s="49"/>
      <c r="K481" s="50"/>
      <c r="L481" s="50"/>
      <c r="M481" s="50"/>
      <c r="N481" s="48"/>
      <c r="O481" s="412"/>
      <c r="P481" s="412"/>
      <c r="Q481" s="48"/>
      <c r="R481" s="412"/>
      <c r="S481" s="412"/>
      <c r="T481" s="48"/>
      <c r="U481" s="412"/>
      <c r="V481" s="412"/>
      <c r="W481" s="412"/>
      <c r="X481" s="412"/>
    </row>
    <row r="482" spans="2:24" ht="12.75" outlineLevel="1">
      <c r="B482" s="551" t="s">
        <v>230</v>
      </c>
      <c r="C482" s="454"/>
      <c r="D482" s="454"/>
      <c r="E482" s="60"/>
      <c r="F482" s="60"/>
      <c r="G482" s="58"/>
      <c r="H482" s="58"/>
      <c r="I482" s="60"/>
      <c r="J482" s="60"/>
      <c r="K482" s="58"/>
      <c r="L482" s="58"/>
      <c r="M482" s="58"/>
      <c r="N482" s="48"/>
      <c r="O482" s="412"/>
      <c r="P482" s="412"/>
      <c r="Q482" s="48"/>
      <c r="R482" s="412"/>
      <c r="S482" s="412"/>
      <c r="T482" s="48"/>
      <c r="U482" s="412"/>
      <c r="V482" s="412"/>
      <c r="W482" s="412"/>
      <c r="X482" s="412"/>
    </row>
    <row r="483" spans="2:24" ht="12.75" outlineLevel="1">
      <c r="B483" s="551" t="s">
        <v>242</v>
      </c>
      <c r="C483" s="454"/>
      <c r="D483" s="454"/>
      <c r="E483" s="60"/>
      <c r="F483" s="60"/>
      <c r="G483" s="58"/>
      <c r="H483" s="58"/>
      <c r="I483" s="60"/>
      <c r="J483" s="60"/>
      <c r="K483" s="58"/>
      <c r="L483" s="58"/>
      <c r="M483" s="58"/>
      <c r="N483" s="48"/>
      <c r="O483" s="412"/>
      <c r="P483" s="412"/>
      <c r="Q483" s="48"/>
      <c r="R483" s="412"/>
      <c r="S483" s="412"/>
      <c r="T483" s="48"/>
      <c r="U483" s="412"/>
      <c r="V483" s="412"/>
      <c r="W483" s="412"/>
      <c r="X483" s="412"/>
    </row>
    <row r="484" spans="2:24" ht="12.75" outlineLevel="1">
      <c r="B484" s="551" t="s">
        <v>249</v>
      </c>
      <c r="C484" s="454"/>
      <c r="D484" s="454"/>
      <c r="E484" s="60"/>
      <c r="F484" s="60"/>
      <c r="G484" s="58"/>
      <c r="H484" s="58"/>
      <c r="I484" s="60"/>
      <c r="J484" s="60"/>
      <c r="K484" s="58"/>
      <c r="L484" s="58"/>
      <c r="M484" s="58"/>
      <c r="N484" s="48"/>
      <c r="O484" s="412"/>
      <c r="P484" s="412"/>
      <c r="Q484" s="48"/>
      <c r="R484" s="412"/>
      <c r="S484" s="412"/>
      <c r="T484" s="48"/>
      <c r="U484" s="412"/>
      <c r="V484" s="412"/>
      <c r="W484" s="412"/>
      <c r="X484" s="412"/>
    </row>
    <row r="485" spans="2:24" ht="12.75" outlineLevel="1">
      <c r="B485" s="551" t="s">
        <v>275</v>
      </c>
      <c r="C485" s="454"/>
      <c r="D485" s="454"/>
      <c r="E485" s="49"/>
      <c r="F485" s="49"/>
      <c r="G485" s="50"/>
      <c r="H485" s="50"/>
      <c r="I485" s="49"/>
      <c r="J485" s="49"/>
      <c r="K485" s="50"/>
      <c r="L485" s="50"/>
      <c r="M485" s="50"/>
      <c r="N485" s="48"/>
      <c r="O485" s="412"/>
      <c r="P485" s="412"/>
      <c r="Q485" s="48"/>
      <c r="R485" s="412"/>
      <c r="S485" s="412"/>
      <c r="T485" s="48"/>
      <c r="U485" s="412"/>
      <c r="V485" s="412"/>
      <c r="W485" s="412"/>
      <c r="X485" s="412"/>
    </row>
    <row r="486" spans="2:24" ht="12.75" outlineLevel="1">
      <c r="B486" s="550" t="s">
        <v>250</v>
      </c>
      <c r="C486" s="454"/>
      <c r="D486" s="454"/>
      <c r="E486" s="49"/>
      <c r="F486" s="49"/>
      <c r="G486" s="50"/>
      <c r="H486" s="50"/>
      <c r="I486" s="49"/>
      <c r="J486" s="49"/>
      <c r="K486" s="50"/>
      <c r="L486" s="50"/>
      <c r="M486" s="50"/>
      <c r="N486" s="48"/>
      <c r="O486" s="412"/>
      <c r="P486" s="412"/>
      <c r="Q486" s="48"/>
      <c r="R486" s="412"/>
      <c r="S486" s="412"/>
      <c r="T486" s="48"/>
      <c r="U486" s="412"/>
      <c r="V486" s="412"/>
      <c r="W486" s="412"/>
      <c r="X486" s="412"/>
    </row>
    <row r="487" spans="2:24" ht="12.75" outlineLevel="1">
      <c r="B487" s="551" t="s">
        <v>230</v>
      </c>
      <c r="C487" s="454"/>
      <c r="D487" s="454"/>
      <c r="E487" s="60"/>
      <c r="F487" s="60"/>
      <c r="G487" s="58"/>
      <c r="H487" s="61"/>
      <c r="I487" s="60"/>
      <c r="J487" s="60"/>
      <c r="K487" s="58"/>
      <c r="L487" s="58"/>
      <c r="M487" s="58"/>
      <c r="N487" s="48"/>
      <c r="O487" s="412"/>
      <c r="P487" s="412"/>
      <c r="Q487" s="48"/>
      <c r="R487" s="412"/>
      <c r="S487" s="412"/>
      <c r="T487" s="48"/>
      <c r="U487" s="412"/>
      <c r="V487" s="412"/>
      <c r="W487" s="412"/>
      <c r="X487" s="412"/>
    </row>
    <row r="488" spans="2:24" ht="12.75" outlineLevel="1">
      <c r="B488" s="551" t="s">
        <v>246</v>
      </c>
      <c r="C488" s="454"/>
      <c r="D488" s="454"/>
      <c r="E488" s="60"/>
      <c r="F488" s="60"/>
      <c r="G488" s="58"/>
      <c r="H488" s="61"/>
      <c r="I488" s="60"/>
      <c r="J488" s="60"/>
      <c r="K488" s="58"/>
      <c r="L488" s="58"/>
      <c r="M488" s="58"/>
      <c r="N488" s="48"/>
      <c r="O488" s="412"/>
      <c r="P488" s="412"/>
      <c r="Q488" s="48"/>
      <c r="R488" s="412"/>
      <c r="S488" s="412"/>
      <c r="T488" s="48"/>
      <c r="U488" s="412"/>
      <c r="V488" s="412"/>
      <c r="W488" s="412"/>
      <c r="X488" s="412"/>
    </row>
    <row r="489" spans="2:24" ht="12.75" outlineLevel="1">
      <c r="B489" s="551" t="s">
        <v>233</v>
      </c>
      <c r="C489" s="454"/>
      <c r="D489" s="454"/>
      <c r="E489" s="60"/>
      <c r="F489" s="60"/>
      <c r="G489" s="58"/>
      <c r="H489" s="61"/>
      <c r="I489" s="60"/>
      <c r="J489" s="60"/>
      <c r="K489" s="58"/>
      <c r="L489" s="58"/>
      <c r="M489" s="58"/>
      <c r="N489" s="48"/>
      <c r="O489" s="412"/>
      <c r="P489" s="412"/>
      <c r="Q489" s="48"/>
      <c r="R489" s="412"/>
      <c r="S489" s="412"/>
      <c r="T489" s="48"/>
      <c r="U489" s="412"/>
      <c r="V489" s="412"/>
      <c r="W489" s="412"/>
      <c r="X489" s="412"/>
    </row>
    <row r="490" spans="2:24" ht="12.75" outlineLevel="1">
      <c r="B490" s="551" t="s">
        <v>275</v>
      </c>
      <c r="C490" s="454"/>
      <c r="D490" s="454"/>
      <c r="E490" s="52"/>
      <c r="F490" s="52"/>
      <c r="G490" s="50"/>
      <c r="H490" s="50"/>
      <c r="I490" s="52"/>
      <c r="J490" s="52"/>
      <c r="K490" s="50"/>
      <c r="L490" s="50"/>
      <c r="M490" s="50"/>
      <c r="N490" s="48"/>
      <c r="O490" s="412"/>
      <c r="P490" s="412"/>
      <c r="Q490" s="48"/>
      <c r="R490" s="412"/>
      <c r="S490" s="412"/>
      <c r="T490" s="48"/>
      <c r="U490" s="412"/>
      <c r="V490" s="412"/>
      <c r="W490" s="412"/>
      <c r="X490" s="412"/>
    </row>
    <row r="491" spans="2:24" ht="12.75" outlineLevel="1">
      <c r="B491" s="550" t="s">
        <v>251</v>
      </c>
      <c r="C491" s="454"/>
      <c r="D491" s="454"/>
      <c r="E491" s="49"/>
      <c r="F491" s="49"/>
      <c r="G491" s="50"/>
      <c r="H491" s="50"/>
      <c r="I491" s="49"/>
      <c r="J491" s="49"/>
      <c r="K491" s="50"/>
      <c r="L491" s="50"/>
      <c r="M491" s="50"/>
      <c r="N491" s="48"/>
      <c r="O491" s="412"/>
      <c r="P491" s="412"/>
      <c r="Q491" s="48"/>
      <c r="R491" s="412"/>
      <c r="S491" s="412"/>
      <c r="T491" s="48"/>
      <c r="U491" s="412"/>
      <c r="V491" s="412"/>
      <c r="W491" s="412"/>
      <c r="X491" s="412"/>
    </row>
    <row r="492" spans="2:24" ht="12.75" outlineLevel="1">
      <c r="B492" s="551" t="s">
        <v>230</v>
      </c>
      <c r="C492" s="454"/>
      <c r="D492" s="454"/>
      <c r="E492" s="60"/>
      <c r="F492" s="60"/>
      <c r="G492" s="58"/>
      <c r="H492" s="58"/>
      <c r="I492" s="60"/>
      <c r="J492" s="60"/>
      <c r="K492" s="58"/>
      <c r="L492" s="58"/>
      <c r="M492" s="58"/>
      <c r="N492" s="48"/>
      <c r="O492" s="412"/>
      <c r="P492" s="412"/>
      <c r="Q492" s="48"/>
      <c r="R492" s="412"/>
      <c r="S492" s="412"/>
      <c r="T492" s="48"/>
      <c r="U492" s="412"/>
      <c r="V492" s="412"/>
      <c r="W492" s="412"/>
      <c r="X492" s="412"/>
    </row>
    <row r="493" spans="2:24" ht="12.75" outlineLevel="1">
      <c r="B493" s="551" t="s">
        <v>249</v>
      </c>
      <c r="C493" s="454"/>
      <c r="D493" s="454"/>
      <c r="E493" s="60"/>
      <c r="F493" s="60"/>
      <c r="G493" s="58"/>
      <c r="H493" s="58"/>
      <c r="I493" s="60"/>
      <c r="J493" s="60"/>
      <c r="K493" s="58"/>
      <c r="L493" s="58"/>
      <c r="M493" s="58"/>
      <c r="N493" s="48"/>
      <c r="O493" s="412"/>
      <c r="P493" s="412"/>
      <c r="Q493" s="48"/>
      <c r="R493" s="412"/>
      <c r="S493" s="412"/>
      <c r="T493" s="48"/>
      <c r="U493" s="412"/>
      <c r="V493" s="412"/>
      <c r="W493" s="412"/>
      <c r="X493" s="412"/>
    </row>
    <row r="494" spans="2:24" ht="12.75" outlineLevel="1">
      <c r="B494" s="551" t="s">
        <v>275</v>
      </c>
      <c r="C494" s="454"/>
      <c r="D494" s="454"/>
      <c r="E494" s="55"/>
      <c r="F494" s="55"/>
      <c r="G494" s="50"/>
      <c r="H494" s="50"/>
      <c r="I494" s="55"/>
      <c r="J494" s="55"/>
      <c r="K494" s="50"/>
      <c r="L494" s="50"/>
      <c r="M494" s="50"/>
      <c r="N494" s="48"/>
      <c r="O494" s="412"/>
      <c r="P494" s="412"/>
      <c r="Q494" s="48"/>
      <c r="R494" s="412"/>
      <c r="S494" s="412"/>
      <c r="T494" s="48"/>
      <c r="U494" s="412"/>
      <c r="V494" s="412"/>
      <c r="W494" s="412"/>
      <c r="X494" s="412"/>
    </row>
    <row r="495" spans="2:24" ht="12.75" outlineLevel="1">
      <c r="B495" s="550" t="s">
        <v>257</v>
      </c>
      <c r="C495" s="454"/>
      <c r="D495" s="454"/>
      <c r="E495" s="55"/>
      <c r="F495" s="55"/>
      <c r="G495" s="50"/>
      <c r="H495" s="50"/>
      <c r="I495" s="55"/>
      <c r="J495" s="55"/>
      <c r="K495" s="50"/>
      <c r="L495" s="50"/>
      <c r="M495" s="50"/>
      <c r="N495" s="48"/>
      <c r="O495" s="412"/>
      <c r="P495" s="412"/>
      <c r="Q495" s="48"/>
      <c r="R495" s="412"/>
      <c r="S495" s="412"/>
      <c r="T495" s="48"/>
      <c r="U495" s="412"/>
      <c r="V495" s="412"/>
      <c r="W495" s="412"/>
      <c r="X495" s="412"/>
    </row>
    <row r="496" spans="2:24" ht="12.75" outlineLevel="1">
      <c r="B496" s="551" t="s">
        <v>230</v>
      </c>
      <c r="C496" s="454"/>
      <c r="D496" s="454"/>
      <c r="E496" s="60"/>
      <c r="F496" s="60"/>
      <c r="G496" s="58"/>
      <c r="H496" s="58"/>
      <c r="I496" s="60"/>
      <c r="J496" s="60"/>
      <c r="K496" s="58"/>
      <c r="L496" s="58"/>
      <c r="M496" s="58"/>
      <c r="N496" s="48"/>
      <c r="O496" s="412"/>
      <c r="P496" s="412"/>
      <c r="Q496" s="48"/>
      <c r="R496" s="412"/>
      <c r="S496" s="412"/>
      <c r="T496" s="48"/>
      <c r="U496" s="412"/>
      <c r="V496" s="412"/>
      <c r="W496" s="412"/>
      <c r="X496" s="412"/>
    </row>
    <row r="497" spans="2:24" ht="12.75" outlineLevel="1">
      <c r="B497" s="551" t="s">
        <v>246</v>
      </c>
      <c r="C497" s="454"/>
      <c r="D497" s="454"/>
      <c r="E497" s="60"/>
      <c r="F497" s="60"/>
      <c r="G497" s="58"/>
      <c r="H497" s="58"/>
      <c r="I497" s="60"/>
      <c r="J497" s="60"/>
      <c r="K497" s="58"/>
      <c r="L497" s="58"/>
      <c r="M497" s="58"/>
      <c r="N497" s="48"/>
      <c r="O497" s="412"/>
      <c r="P497" s="412"/>
      <c r="Q497" s="48"/>
      <c r="R497" s="412"/>
      <c r="S497" s="412"/>
      <c r="T497" s="48"/>
      <c r="U497" s="412"/>
      <c r="V497" s="412"/>
      <c r="W497" s="412"/>
      <c r="X497" s="412"/>
    </row>
    <row r="498" spans="2:24" ht="12.75" outlineLevel="1">
      <c r="B498" s="551" t="s">
        <v>233</v>
      </c>
      <c r="C498" s="454"/>
      <c r="D498" s="454"/>
      <c r="E498" s="59"/>
      <c r="F498" s="59"/>
      <c r="G498" s="58"/>
      <c r="H498" s="58"/>
      <c r="I498" s="60"/>
      <c r="J498" s="60"/>
      <c r="K498" s="58"/>
      <c r="L498" s="58"/>
      <c r="M498" s="58"/>
      <c r="N498" s="48"/>
      <c r="O498" s="412"/>
      <c r="P498" s="412"/>
      <c r="Q498" s="48"/>
      <c r="R498" s="412"/>
      <c r="S498" s="412"/>
      <c r="T498" s="48"/>
      <c r="U498" s="412"/>
      <c r="V498" s="412"/>
      <c r="W498" s="412"/>
      <c r="X498" s="412"/>
    </row>
    <row r="499" spans="2:24" ht="12.75" outlineLevel="1">
      <c r="B499" s="447"/>
      <c r="C499" s="447"/>
      <c r="D499" s="447"/>
      <c r="E499" s="49"/>
      <c r="F499" s="49"/>
      <c r="G499" s="50"/>
      <c r="H499" s="50"/>
      <c r="I499" s="55"/>
      <c r="J499" s="55"/>
      <c r="K499" s="50"/>
      <c r="L499" s="50"/>
      <c r="M499" s="48"/>
      <c r="N499" s="48"/>
      <c r="O499" s="412"/>
      <c r="P499" s="412"/>
      <c r="Q499" s="48"/>
      <c r="R499" s="412"/>
      <c r="S499" s="412"/>
      <c r="T499" s="48"/>
      <c r="U499" s="412"/>
      <c r="V499" s="412"/>
      <c r="W499" s="412"/>
      <c r="X499" s="412"/>
    </row>
    <row r="500" spans="2:24" ht="12.75" outlineLevel="1">
      <c r="B500" s="448" t="s">
        <v>263</v>
      </c>
      <c r="C500" s="471"/>
      <c r="D500" s="471"/>
      <c r="E500" s="49"/>
      <c r="F500" s="49"/>
      <c r="G500" s="50"/>
      <c r="H500" s="50"/>
      <c r="I500" s="55"/>
      <c r="J500" s="55"/>
      <c r="K500" s="50"/>
      <c r="L500" s="50"/>
      <c r="M500" s="48"/>
      <c r="N500" s="48"/>
      <c r="O500" s="412"/>
      <c r="P500" s="412"/>
      <c r="Q500" s="48"/>
      <c r="R500" s="412"/>
      <c r="S500" s="412"/>
      <c r="T500" s="48"/>
      <c r="U500" s="412"/>
      <c r="V500" s="412"/>
      <c r="W500" s="412"/>
      <c r="X500" s="412"/>
    </row>
    <row r="501" spans="2:24" ht="12.75" outlineLevel="1">
      <c r="B501" s="447" t="s">
        <v>264</v>
      </c>
      <c r="C501" s="472"/>
      <c r="D501" s="472"/>
      <c r="E501" s="46">
        <v>1</v>
      </c>
      <c r="F501" s="46">
        <v>1</v>
      </c>
      <c r="G501" s="46">
        <v>1</v>
      </c>
      <c r="H501" s="46">
        <v>1</v>
      </c>
      <c r="I501" s="46">
        <v>1</v>
      </c>
      <c r="J501" s="46">
        <v>1</v>
      </c>
      <c r="K501" s="46">
        <v>1</v>
      </c>
      <c r="L501" s="46">
        <v>1</v>
      </c>
      <c r="M501" s="404">
        <f>SUM(E501:L501)</f>
        <v>8</v>
      </c>
      <c r="N501" s="48"/>
      <c r="O501" s="412"/>
      <c r="P501" s="412"/>
      <c r="Q501" s="48"/>
      <c r="R501" s="412"/>
      <c r="S501" s="412"/>
      <c r="T501" s="48"/>
      <c r="U501" s="412"/>
      <c r="V501" s="412"/>
      <c r="W501" s="412"/>
      <c r="X501" s="412"/>
    </row>
    <row r="502" spans="2:24" ht="12.75" outlineLevel="1">
      <c r="B502" s="447" t="s">
        <v>265</v>
      </c>
      <c r="C502" s="472"/>
      <c r="D502" s="472"/>
      <c r="E502" s="46">
        <v>1</v>
      </c>
      <c r="F502" s="46">
        <v>1</v>
      </c>
      <c r="G502" s="46">
        <v>1</v>
      </c>
      <c r="H502" s="46">
        <v>1</v>
      </c>
      <c r="I502" s="46">
        <v>1</v>
      </c>
      <c r="J502" s="46">
        <v>1</v>
      </c>
      <c r="K502" s="46">
        <v>1</v>
      </c>
      <c r="L502" s="46">
        <v>1</v>
      </c>
      <c r="M502" s="404">
        <f>SUM(E502:L502)</f>
        <v>8</v>
      </c>
      <c r="N502" s="48"/>
      <c r="O502" s="412"/>
      <c r="P502" s="412"/>
      <c r="Q502" s="48"/>
      <c r="R502" s="412"/>
      <c r="S502" s="412"/>
      <c r="T502" s="48"/>
      <c r="U502" s="412"/>
      <c r="V502" s="412"/>
      <c r="W502" s="412"/>
      <c r="X502" s="412"/>
    </row>
    <row r="503" spans="2:24" ht="12.75" outlineLevel="1">
      <c r="B503" s="447"/>
      <c r="C503" s="472"/>
      <c r="D503" s="472"/>
      <c r="E503" s="49"/>
      <c r="F503" s="49"/>
      <c r="G503" s="50"/>
      <c r="H503" s="50"/>
      <c r="I503" s="55"/>
      <c r="J503" s="55"/>
      <c r="K503" s="50"/>
      <c r="L503" s="50"/>
      <c r="M503" s="48"/>
      <c r="N503" s="48"/>
      <c r="O503" s="412"/>
      <c r="P503" s="412"/>
      <c r="Q503" s="48"/>
      <c r="R503" s="412"/>
      <c r="S503" s="412"/>
      <c r="T503" s="48"/>
      <c r="U503" s="412"/>
      <c r="V503" s="412"/>
      <c r="W503" s="412"/>
      <c r="X503" s="412"/>
    </row>
    <row r="504" spans="2:24" ht="12.75" outlineLevel="1">
      <c r="B504" s="448" t="s">
        <v>266</v>
      </c>
      <c r="C504" s="471"/>
      <c r="D504" s="471"/>
      <c r="E504" s="49"/>
      <c r="F504" s="49"/>
      <c r="G504" s="50"/>
      <c r="H504" s="50"/>
      <c r="I504" s="55"/>
      <c r="J504" s="55"/>
      <c r="K504" s="50"/>
      <c r="L504" s="50"/>
      <c r="M504" s="48"/>
      <c r="N504" s="48"/>
      <c r="O504" s="412"/>
      <c r="P504" s="412"/>
      <c r="Q504" s="48"/>
      <c r="R504" s="412"/>
      <c r="S504" s="412"/>
      <c r="T504" s="48"/>
      <c r="U504" s="412"/>
      <c r="V504" s="412"/>
      <c r="W504" s="412"/>
      <c r="X504" s="412"/>
    </row>
    <row r="505" spans="2:24" ht="12.75" outlineLevel="1">
      <c r="B505" s="447" t="s">
        <v>267</v>
      </c>
      <c r="C505" s="472"/>
      <c r="D505" s="472"/>
      <c r="E505" s="46">
        <v>1</v>
      </c>
      <c r="F505" s="46">
        <v>1</v>
      </c>
      <c r="G505" s="46">
        <v>1</v>
      </c>
      <c r="H505" s="46">
        <v>1</v>
      </c>
      <c r="I505" s="46">
        <v>1</v>
      </c>
      <c r="J505" s="46">
        <v>1</v>
      </c>
      <c r="K505" s="46">
        <v>1</v>
      </c>
      <c r="L505" s="46">
        <v>1</v>
      </c>
      <c r="M505" s="404">
        <f aca="true" t="shared" si="117" ref="M505:M510">SUM(E505:L505)</f>
        <v>8</v>
      </c>
      <c r="N505" s="48"/>
      <c r="O505" s="412"/>
      <c r="P505" s="412"/>
      <c r="Q505" s="48"/>
      <c r="R505" s="412"/>
      <c r="S505" s="412"/>
      <c r="T505" s="48"/>
      <c r="U505" s="412"/>
      <c r="V505" s="412"/>
      <c r="W505" s="412"/>
      <c r="X505" s="412"/>
    </row>
    <row r="506" spans="2:24" ht="12.75" outlineLevel="1">
      <c r="B506" s="447" t="s">
        <v>268</v>
      </c>
      <c r="C506" s="472"/>
      <c r="D506" s="472"/>
      <c r="E506" s="46">
        <v>1</v>
      </c>
      <c r="F506" s="46">
        <v>1</v>
      </c>
      <c r="G506" s="46">
        <v>1</v>
      </c>
      <c r="H506" s="46">
        <v>1</v>
      </c>
      <c r="I506" s="46">
        <v>1</v>
      </c>
      <c r="J506" s="46">
        <v>1</v>
      </c>
      <c r="K506" s="46">
        <v>1</v>
      </c>
      <c r="L506" s="46">
        <v>1</v>
      </c>
      <c r="M506" s="404">
        <f t="shared" si="117"/>
        <v>8</v>
      </c>
      <c r="N506" s="48"/>
      <c r="O506" s="412"/>
      <c r="P506" s="412"/>
      <c r="Q506" s="48"/>
      <c r="R506" s="412"/>
      <c r="S506" s="412"/>
      <c r="T506" s="48"/>
      <c r="U506" s="412"/>
      <c r="V506" s="412"/>
      <c r="W506" s="412"/>
      <c r="X506" s="412"/>
    </row>
    <row r="507" spans="2:24" ht="12.75" outlineLevel="1">
      <c r="B507" s="447" t="s">
        <v>269</v>
      </c>
      <c r="C507" s="472"/>
      <c r="D507" s="472"/>
      <c r="E507" s="46">
        <v>1</v>
      </c>
      <c r="F507" s="46">
        <v>1</v>
      </c>
      <c r="G507" s="46">
        <v>1</v>
      </c>
      <c r="H507" s="46">
        <v>1</v>
      </c>
      <c r="I507" s="46">
        <v>1</v>
      </c>
      <c r="J507" s="46">
        <v>1</v>
      </c>
      <c r="K507" s="46">
        <v>1</v>
      </c>
      <c r="L507" s="46">
        <v>1</v>
      </c>
      <c r="M507" s="404">
        <f t="shared" si="117"/>
        <v>8</v>
      </c>
      <c r="N507" s="48"/>
      <c r="O507" s="412"/>
      <c r="P507" s="412"/>
      <c r="Q507" s="48"/>
      <c r="R507" s="412"/>
      <c r="S507" s="412"/>
      <c r="T507" s="48"/>
      <c r="U507" s="412"/>
      <c r="V507" s="412"/>
      <c r="W507" s="412"/>
      <c r="X507" s="412"/>
    </row>
    <row r="508" spans="2:24" ht="12.75" outlineLevel="1">
      <c r="B508" s="447" t="s">
        <v>270</v>
      </c>
      <c r="C508" s="472"/>
      <c r="D508" s="472"/>
      <c r="E508" s="46">
        <v>1</v>
      </c>
      <c r="F508" s="46">
        <v>1</v>
      </c>
      <c r="G508" s="46">
        <v>1</v>
      </c>
      <c r="H508" s="46">
        <v>1</v>
      </c>
      <c r="I508" s="46">
        <v>1</v>
      </c>
      <c r="J508" s="46">
        <v>1</v>
      </c>
      <c r="K508" s="46">
        <v>1</v>
      </c>
      <c r="L508" s="46">
        <v>1</v>
      </c>
      <c r="M508" s="404">
        <f t="shared" si="117"/>
        <v>8</v>
      </c>
      <c r="N508" s="48"/>
      <c r="O508" s="412"/>
      <c r="P508" s="412"/>
      <c r="Q508" s="48"/>
      <c r="R508" s="412"/>
      <c r="S508" s="412"/>
      <c r="T508" s="48"/>
      <c r="U508" s="412"/>
      <c r="V508" s="412"/>
      <c r="W508" s="412"/>
      <c r="X508" s="412"/>
    </row>
    <row r="509" spans="2:24" ht="12.75" outlineLevel="1">
      <c r="B509" s="447" t="s">
        <v>271</v>
      </c>
      <c r="C509" s="472"/>
      <c r="D509" s="472"/>
      <c r="E509" s="46">
        <v>1</v>
      </c>
      <c r="F509" s="46">
        <v>1</v>
      </c>
      <c r="G509" s="46">
        <v>1</v>
      </c>
      <c r="H509" s="46">
        <v>1</v>
      </c>
      <c r="I509" s="46">
        <v>1</v>
      </c>
      <c r="J509" s="46">
        <v>1</v>
      </c>
      <c r="K509" s="46">
        <v>1</v>
      </c>
      <c r="L509" s="46">
        <v>1</v>
      </c>
      <c r="M509" s="404">
        <f t="shared" si="117"/>
        <v>8</v>
      </c>
      <c r="N509" s="48"/>
      <c r="O509" s="412"/>
      <c r="P509" s="412"/>
      <c r="Q509" s="48"/>
      <c r="R509" s="412"/>
      <c r="S509" s="412"/>
      <c r="T509" s="48"/>
      <c r="U509" s="412"/>
      <c r="V509" s="412"/>
      <c r="W509" s="412"/>
      <c r="X509" s="412"/>
    </row>
    <row r="510" spans="2:24" ht="12.75" outlineLevel="1">
      <c r="B510" s="447" t="s">
        <v>272</v>
      </c>
      <c r="C510" s="472"/>
      <c r="D510" s="472"/>
      <c r="E510" s="46">
        <v>1</v>
      </c>
      <c r="F510" s="46">
        <v>1</v>
      </c>
      <c r="G510" s="46">
        <v>1</v>
      </c>
      <c r="H510" s="46">
        <v>1</v>
      </c>
      <c r="I510" s="46">
        <v>1</v>
      </c>
      <c r="J510" s="46">
        <v>1</v>
      </c>
      <c r="K510" s="46">
        <v>1</v>
      </c>
      <c r="L510" s="46">
        <v>1</v>
      </c>
      <c r="M510" s="404">
        <f t="shared" si="117"/>
        <v>8</v>
      </c>
      <c r="N510" s="48"/>
      <c r="O510" s="412"/>
      <c r="P510" s="412"/>
      <c r="Q510" s="48"/>
      <c r="R510" s="412"/>
      <c r="S510" s="412"/>
      <c r="T510" s="48"/>
      <c r="U510" s="412"/>
      <c r="V510" s="412"/>
      <c r="W510" s="412"/>
      <c r="X510" s="412"/>
    </row>
    <row r="511" spans="2:24" ht="12.75" outlineLevel="1">
      <c r="B511" s="447" t="s">
        <v>275</v>
      </c>
      <c r="C511" s="447"/>
      <c r="D511" s="447"/>
      <c r="E511" s="55"/>
      <c r="F511" s="55"/>
      <c r="G511" s="50"/>
      <c r="H511" s="50"/>
      <c r="I511" s="55"/>
      <c r="J511" s="55"/>
      <c r="K511" s="50"/>
      <c r="L511" s="50"/>
      <c r="M511" s="48"/>
      <c r="N511" s="48"/>
      <c r="O511" s="412"/>
      <c r="P511" s="412"/>
      <c r="Q511" s="48"/>
      <c r="R511" s="412"/>
      <c r="S511" s="412"/>
      <c r="T511" s="48"/>
      <c r="U511" s="412"/>
      <c r="V511" s="412"/>
      <c r="W511" s="412"/>
      <c r="X511" s="412"/>
    </row>
    <row r="512" spans="2:24" ht="12.75" outlineLevel="1">
      <c r="B512" s="448" t="s">
        <v>252</v>
      </c>
      <c r="C512" s="448"/>
      <c r="D512" s="448"/>
      <c r="E512" s="55"/>
      <c r="F512" s="55"/>
      <c r="G512" s="50"/>
      <c r="H512" s="50"/>
      <c r="I512" s="55"/>
      <c r="J512" s="55"/>
      <c r="K512" s="50"/>
      <c r="L512" s="50"/>
      <c r="M512" s="48"/>
      <c r="N512" s="48"/>
      <c r="O512" s="412"/>
      <c r="P512" s="412"/>
      <c r="Q512" s="48"/>
      <c r="R512" s="412"/>
      <c r="S512" s="412"/>
      <c r="T512" s="48"/>
      <c r="U512" s="412"/>
      <c r="V512" s="412"/>
      <c r="W512" s="412"/>
      <c r="X512" s="412"/>
    </row>
    <row r="513" spans="2:24" ht="12.75" outlineLevel="1">
      <c r="B513" s="447" t="s">
        <v>275</v>
      </c>
      <c r="C513" s="447"/>
      <c r="D513" s="447"/>
      <c r="E513" s="52"/>
      <c r="F513" s="52"/>
      <c r="G513" s="50"/>
      <c r="H513" s="50"/>
      <c r="I513" s="55"/>
      <c r="J513" s="55"/>
      <c r="K513" s="50"/>
      <c r="L513" s="50"/>
      <c r="M513" s="48"/>
      <c r="N513" s="48"/>
      <c r="O513" s="412"/>
      <c r="P513" s="412"/>
      <c r="Q513" s="48"/>
      <c r="R513" s="412"/>
      <c r="S513" s="412"/>
      <c r="T513" s="48"/>
      <c r="U513" s="412"/>
      <c r="V513" s="412"/>
      <c r="W513" s="412"/>
      <c r="X513" s="412"/>
    </row>
    <row r="514" spans="2:24" ht="12.75" outlineLevel="1">
      <c r="B514" s="446" t="s">
        <v>404</v>
      </c>
      <c r="C514" s="446"/>
      <c r="D514" s="446"/>
      <c r="E514" s="56">
        <v>1</v>
      </c>
      <c r="F514" s="56">
        <v>1</v>
      </c>
      <c r="G514" s="56">
        <v>1</v>
      </c>
      <c r="H514" s="56">
        <v>1</v>
      </c>
      <c r="I514" s="56">
        <v>1</v>
      </c>
      <c r="J514" s="56">
        <v>1</v>
      </c>
      <c r="K514" s="56">
        <v>1</v>
      </c>
      <c r="L514" s="56">
        <v>1</v>
      </c>
      <c r="M514" s="404">
        <f aca="true" t="shared" si="118" ref="M514:M521">SUM(E514:L514)</f>
        <v>8</v>
      </c>
      <c r="N514" s="57"/>
      <c r="O514" s="416"/>
      <c r="P514" s="416"/>
      <c r="Q514" s="57"/>
      <c r="R514" s="416"/>
      <c r="S514" s="416"/>
      <c r="T514" s="57"/>
      <c r="U514" s="416"/>
      <c r="V514" s="416"/>
      <c r="W514" s="416"/>
      <c r="X514" s="416"/>
    </row>
    <row r="515" spans="2:24" ht="12.75" outlineLevel="1">
      <c r="B515" s="446" t="s">
        <v>405</v>
      </c>
      <c r="C515" s="446"/>
      <c r="D515" s="446"/>
      <c r="E515" s="56">
        <v>1</v>
      </c>
      <c r="F515" s="56">
        <v>1</v>
      </c>
      <c r="G515" s="56">
        <v>1</v>
      </c>
      <c r="H515" s="56">
        <v>1</v>
      </c>
      <c r="I515" s="56">
        <v>1</v>
      </c>
      <c r="J515" s="56">
        <v>1</v>
      </c>
      <c r="K515" s="56">
        <v>1</v>
      </c>
      <c r="L515" s="56">
        <v>1</v>
      </c>
      <c r="M515" s="404">
        <f t="shared" si="118"/>
        <v>8</v>
      </c>
      <c r="N515" s="57"/>
      <c r="O515" s="416"/>
      <c r="P515" s="416"/>
      <c r="Q515" s="57"/>
      <c r="R515" s="416"/>
      <c r="S515" s="416"/>
      <c r="T515" s="57"/>
      <c r="U515" s="416"/>
      <c r="V515" s="416"/>
      <c r="W515" s="416"/>
      <c r="X515" s="416"/>
    </row>
    <row r="516" spans="2:24" ht="12.75" outlineLevel="1">
      <c r="B516" s="446" t="s">
        <v>406</v>
      </c>
      <c r="C516" s="446"/>
      <c r="D516" s="446"/>
      <c r="E516" s="56">
        <v>1</v>
      </c>
      <c r="F516" s="56">
        <v>1</v>
      </c>
      <c r="G516" s="56">
        <v>1</v>
      </c>
      <c r="H516" s="56">
        <v>1</v>
      </c>
      <c r="I516" s="56">
        <v>1</v>
      </c>
      <c r="J516" s="56">
        <v>1</v>
      </c>
      <c r="K516" s="56">
        <v>1</v>
      </c>
      <c r="L516" s="56">
        <v>1</v>
      </c>
      <c r="M516" s="404">
        <f t="shared" si="118"/>
        <v>8</v>
      </c>
      <c r="N516" s="57"/>
      <c r="O516" s="416"/>
      <c r="P516" s="416"/>
      <c r="Q516" s="57"/>
      <c r="R516" s="416"/>
      <c r="S516" s="416"/>
      <c r="T516" s="57"/>
      <c r="U516" s="416"/>
      <c r="V516" s="416"/>
      <c r="W516" s="416"/>
      <c r="X516" s="416"/>
    </row>
    <row r="517" spans="2:24" ht="12.75" outlineLevel="1">
      <c r="B517" s="446" t="s">
        <v>394</v>
      </c>
      <c r="C517" s="446"/>
      <c r="D517" s="446"/>
      <c r="E517" s="56">
        <v>1</v>
      </c>
      <c r="F517" s="56">
        <v>1</v>
      </c>
      <c r="G517" s="56">
        <v>1</v>
      </c>
      <c r="H517" s="56">
        <v>1</v>
      </c>
      <c r="I517" s="56">
        <v>1</v>
      </c>
      <c r="J517" s="56">
        <v>1</v>
      </c>
      <c r="K517" s="56">
        <v>1</v>
      </c>
      <c r="L517" s="56">
        <v>1</v>
      </c>
      <c r="M517" s="404">
        <f t="shared" si="118"/>
        <v>8</v>
      </c>
      <c r="N517" s="57"/>
      <c r="O517" s="416"/>
      <c r="P517" s="416"/>
      <c r="Q517" s="57"/>
      <c r="R517" s="416"/>
      <c r="S517" s="416"/>
      <c r="T517" s="57"/>
      <c r="U517" s="416"/>
      <c r="V517" s="416"/>
      <c r="W517" s="416"/>
      <c r="X517" s="416"/>
    </row>
    <row r="518" spans="2:24" ht="12.75" outlineLevel="1">
      <c r="B518" s="446" t="s">
        <v>397</v>
      </c>
      <c r="C518" s="446"/>
      <c r="D518" s="446"/>
      <c r="E518" s="56">
        <v>1</v>
      </c>
      <c r="F518" s="56">
        <v>1</v>
      </c>
      <c r="G518" s="56">
        <v>1</v>
      </c>
      <c r="H518" s="56">
        <v>1</v>
      </c>
      <c r="I518" s="56">
        <v>1</v>
      </c>
      <c r="J518" s="56">
        <v>1</v>
      </c>
      <c r="K518" s="56">
        <v>1</v>
      </c>
      <c r="L518" s="56">
        <v>1</v>
      </c>
      <c r="M518" s="404">
        <f t="shared" si="118"/>
        <v>8</v>
      </c>
      <c r="N518" s="57"/>
      <c r="O518" s="416"/>
      <c r="P518" s="416"/>
      <c r="Q518" s="57"/>
      <c r="R518" s="416"/>
      <c r="S518" s="416"/>
      <c r="T518" s="57"/>
      <c r="U518" s="416"/>
      <c r="V518" s="416"/>
      <c r="W518" s="416"/>
      <c r="X518" s="416"/>
    </row>
    <row r="519" spans="2:24" ht="12.75" outlineLevel="1">
      <c r="B519" s="446" t="s">
        <v>400</v>
      </c>
      <c r="C519" s="446"/>
      <c r="D519" s="446"/>
      <c r="E519" s="56">
        <f>E392</f>
        <v>0</v>
      </c>
      <c r="F519" s="56">
        <v>1</v>
      </c>
      <c r="G519" s="56">
        <v>1</v>
      </c>
      <c r="H519" s="56">
        <v>1</v>
      </c>
      <c r="I519" s="56">
        <v>1</v>
      </c>
      <c r="J519" s="56">
        <f>J392</f>
        <v>0</v>
      </c>
      <c r="K519" s="56">
        <v>1</v>
      </c>
      <c r="L519" s="56">
        <v>1</v>
      </c>
      <c r="M519" s="404">
        <f t="shared" si="118"/>
        <v>6</v>
      </c>
      <c r="N519" s="57"/>
      <c r="O519" s="416"/>
      <c r="P519" s="416"/>
      <c r="Q519" s="57"/>
      <c r="R519" s="416"/>
      <c r="S519" s="416"/>
      <c r="T519" s="57"/>
      <c r="U519" s="416"/>
      <c r="V519" s="416"/>
      <c r="W519" s="416"/>
      <c r="X519" s="416"/>
    </row>
    <row r="520" spans="2:24" s="45" customFormat="1" ht="12.75" outlineLevel="1">
      <c r="B520" s="447"/>
      <c r="C520" s="447"/>
      <c r="D520" s="447"/>
      <c r="E520" s="57"/>
      <c r="F520" s="57"/>
      <c r="G520" s="57"/>
      <c r="H520" s="57"/>
      <c r="I520" s="57"/>
      <c r="J520" s="57"/>
      <c r="K520" s="57"/>
      <c r="L520" s="57"/>
      <c r="M520" s="57"/>
      <c r="N520" s="48"/>
      <c r="O520" s="412"/>
      <c r="P520" s="412"/>
      <c r="Q520" s="48"/>
      <c r="R520" s="412"/>
      <c r="S520" s="412"/>
      <c r="T520" s="48"/>
      <c r="U520" s="412"/>
      <c r="V520" s="412"/>
      <c r="W520" s="412"/>
      <c r="X520" s="412"/>
    </row>
    <row r="521" spans="2:24" ht="12.75" outlineLevel="1">
      <c r="B521" s="447" t="s">
        <v>255</v>
      </c>
      <c r="C521" s="447"/>
      <c r="D521" s="447"/>
      <c r="E521" s="56">
        <f>E394</f>
        <v>0</v>
      </c>
      <c r="F521" s="56">
        <v>1</v>
      </c>
      <c r="G521" s="56">
        <v>1</v>
      </c>
      <c r="H521" s="56">
        <f>H394</f>
        <v>0</v>
      </c>
      <c r="I521" s="56">
        <v>1</v>
      </c>
      <c r="J521" s="56">
        <v>1</v>
      </c>
      <c r="K521" s="56">
        <v>1</v>
      </c>
      <c r="L521" s="56">
        <v>1</v>
      </c>
      <c r="M521" s="404">
        <f t="shared" si="118"/>
        <v>6</v>
      </c>
      <c r="N521" s="57"/>
      <c r="O521" s="416"/>
      <c r="P521" s="416"/>
      <c r="Q521" s="57"/>
      <c r="R521" s="416"/>
      <c r="S521" s="416"/>
      <c r="T521" s="57"/>
      <c r="U521" s="416"/>
      <c r="V521" s="416"/>
      <c r="W521" s="416"/>
      <c r="X521" s="416"/>
    </row>
    <row r="522" spans="2:24" ht="12.75" outlineLevel="1">
      <c r="B522" s="447" t="s">
        <v>275</v>
      </c>
      <c r="C522" s="447"/>
      <c r="D522" s="44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416"/>
      <c r="P522" s="416"/>
      <c r="Q522" s="57"/>
      <c r="R522" s="416"/>
      <c r="S522" s="416"/>
      <c r="T522" s="57"/>
      <c r="U522" s="416"/>
      <c r="V522" s="416"/>
      <c r="W522" s="416"/>
      <c r="X522" s="416"/>
    </row>
    <row r="523" spans="2:24" ht="12.75" outlineLevel="1">
      <c r="B523" s="448" t="s">
        <v>254</v>
      </c>
      <c r="C523" s="448"/>
      <c r="D523" s="44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416"/>
      <c r="P523" s="416"/>
      <c r="Q523" s="57"/>
      <c r="R523" s="416"/>
      <c r="S523" s="416"/>
      <c r="T523" s="57"/>
      <c r="U523" s="416"/>
      <c r="V523" s="416"/>
      <c r="W523" s="416"/>
      <c r="X523" s="416"/>
    </row>
    <row r="524" spans="2:24" ht="12.75" outlineLevel="1">
      <c r="B524" s="449" t="s">
        <v>562</v>
      </c>
      <c r="C524" s="449"/>
      <c r="D524" s="447"/>
      <c r="E524" s="57"/>
      <c r="F524" s="50"/>
      <c r="G524" s="50"/>
      <c r="H524" s="50"/>
      <c r="I524" s="50"/>
      <c r="J524" s="50"/>
      <c r="K524" s="50"/>
      <c r="L524" s="50"/>
      <c r="M524" s="48"/>
      <c r="N524" s="48"/>
      <c r="O524" s="412"/>
      <c r="P524" s="412"/>
      <c r="Q524" s="48"/>
      <c r="R524" s="412"/>
      <c r="S524" s="412"/>
      <c r="T524" s="48"/>
      <c r="U524" s="412"/>
      <c r="V524" s="412"/>
      <c r="W524" s="412"/>
      <c r="X524" s="412"/>
    </row>
    <row r="525" spans="2:24" ht="12.75" outlineLevel="1">
      <c r="B525" s="446" t="s">
        <v>404</v>
      </c>
      <c r="C525" s="446"/>
      <c r="D525" s="447"/>
      <c r="E525" s="276">
        <f>EAV!E112</f>
        <v>1</v>
      </c>
      <c r="F525" s="276">
        <f>EAV!J112</f>
        <v>1</v>
      </c>
      <c r="G525" s="276">
        <f>EAV!AD112</f>
        <v>1</v>
      </c>
      <c r="H525" s="276">
        <f>EAV!Y112</f>
        <v>1</v>
      </c>
      <c r="I525" s="276">
        <f>EAV!AI112</f>
        <v>1</v>
      </c>
      <c r="J525" s="276">
        <f>EAV!AS112</f>
        <v>1</v>
      </c>
      <c r="K525" s="276">
        <f>EAV!O112</f>
        <v>1</v>
      </c>
      <c r="L525" s="276">
        <f>EAV!AX112</f>
        <v>1</v>
      </c>
      <c r="M525" s="404">
        <f aca="true" t="shared" si="119" ref="M525:M530">SUM(E525:L525)</f>
        <v>8</v>
      </c>
      <c r="N525" s="48"/>
      <c r="O525" s="412"/>
      <c r="P525" s="412"/>
      <c r="Q525" s="48"/>
      <c r="R525" s="412"/>
      <c r="S525" s="412"/>
      <c r="T525" s="48"/>
      <c r="U525" s="412"/>
      <c r="V525" s="412"/>
      <c r="W525" s="412"/>
      <c r="X525" s="412"/>
    </row>
    <row r="526" spans="2:24" ht="12.75" outlineLevel="1">
      <c r="B526" s="446" t="s">
        <v>405</v>
      </c>
      <c r="C526" s="446"/>
      <c r="D526" s="447"/>
      <c r="E526" s="276">
        <f>EAV!E113</f>
        <v>1</v>
      </c>
      <c r="F526" s="276">
        <f>EAV!J113</f>
        <v>1</v>
      </c>
      <c r="G526" s="276">
        <f>EAV!AD113</f>
        <v>1</v>
      </c>
      <c r="H526" s="276">
        <f>EAV!Y113</f>
        <v>2</v>
      </c>
      <c r="I526" s="276">
        <f>EAV!AI113</f>
        <v>1</v>
      </c>
      <c r="J526" s="276">
        <f>EAV!AS113</f>
        <v>1</v>
      </c>
      <c r="K526" s="276">
        <f>EAV!O113</f>
        <v>1</v>
      </c>
      <c r="L526" s="276">
        <f>EAV!AX113</f>
        <v>1</v>
      </c>
      <c r="M526" s="404">
        <f t="shared" si="119"/>
        <v>9</v>
      </c>
      <c r="N526" s="48"/>
      <c r="O526" s="412"/>
      <c r="P526" s="412"/>
      <c r="Q526" s="48"/>
      <c r="R526" s="412"/>
      <c r="S526" s="412"/>
      <c r="T526" s="48"/>
      <c r="U526" s="412"/>
      <c r="V526" s="412"/>
      <c r="W526" s="412"/>
      <c r="X526" s="412"/>
    </row>
    <row r="527" spans="2:24" ht="12.75" outlineLevel="1">
      <c r="B527" s="446" t="s">
        <v>406</v>
      </c>
      <c r="C527" s="446"/>
      <c r="D527" s="447"/>
      <c r="E527" s="276">
        <f>EAV!E114</f>
        <v>4</v>
      </c>
      <c r="F527" s="276">
        <f>EAV!J114</f>
        <v>4</v>
      </c>
      <c r="G527" s="276">
        <f>EAV!AD114</f>
        <v>2</v>
      </c>
      <c r="H527" s="276">
        <f>EAV!Y114</f>
        <v>4</v>
      </c>
      <c r="I527" s="276">
        <f>EAV!AI114</f>
        <v>2</v>
      </c>
      <c r="J527" s="276">
        <f>EAV!AS114</f>
        <v>4</v>
      </c>
      <c r="K527" s="276">
        <f>EAV!O114</f>
        <v>3</v>
      </c>
      <c r="L527" s="276">
        <f>EAV!AX114</f>
        <v>4</v>
      </c>
      <c r="M527" s="404">
        <f t="shared" si="119"/>
        <v>27</v>
      </c>
      <c r="N527" s="48"/>
      <c r="O527" s="412"/>
      <c r="P527" s="412"/>
      <c r="Q527" s="48"/>
      <c r="R527" s="412"/>
      <c r="S527" s="412"/>
      <c r="T527" s="48"/>
      <c r="U527" s="412"/>
      <c r="V527" s="412"/>
      <c r="W527" s="412"/>
      <c r="X527" s="412"/>
    </row>
    <row r="528" spans="2:24" ht="12.75" outlineLevel="1">
      <c r="B528" s="446" t="s">
        <v>394</v>
      </c>
      <c r="C528" s="446"/>
      <c r="D528" s="447"/>
      <c r="E528" s="276">
        <f>EAV!E115</f>
        <v>7</v>
      </c>
      <c r="F528" s="276">
        <f>EAV!J115</f>
        <v>1</v>
      </c>
      <c r="G528" s="276">
        <f>EAV!AD115</f>
        <v>2</v>
      </c>
      <c r="H528" s="276">
        <f>EAV!Y115</f>
        <v>2</v>
      </c>
      <c r="I528" s="276">
        <f>EAV!AI115</f>
        <v>2</v>
      </c>
      <c r="J528" s="276">
        <f>EAV!AS115</f>
        <v>5</v>
      </c>
      <c r="K528" s="276">
        <f>EAV!O115</f>
        <v>2</v>
      </c>
      <c r="L528" s="276">
        <f>EAV!AX115</f>
        <v>6</v>
      </c>
      <c r="M528" s="404">
        <f t="shared" si="119"/>
        <v>27</v>
      </c>
      <c r="N528" s="48"/>
      <c r="O528" s="412"/>
      <c r="P528" s="412"/>
      <c r="Q528" s="48"/>
      <c r="R528" s="412"/>
      <c r="S528" s="412"/>
      <c r="T528" s="48"/>
      <c r="U528" s="412"/>
      <c r="V528" s="412"/>
      <c r="W528" s="412"/>
      <c r="X528" s="412"/>
    </row>
    <row r="529" spans="2:24" ht="12.75" outlineLevel="1">
      <c r="B529" s="446" t="s">
        <v>397</v>
      </c>
      <c r="C529" s="446"/>
      <c r="D529" s="447"/>
      <c r="E529" s="276">
        <f>EAV!E116</f>
        <v>3</v>
      </c>
      <c r="F529" s="276">
        <f>EAV!J116</f>
        <v>2</v>
      </c>
      <c r="G529" s="276">
        <f>EAV!AD116</f>
        <v>3</v>
      </c>
      <c r="H529" s="276">
        <f>EAV!Y116</f>
        <v>2</v>
      </c>
      <c r="I529" s="276">
        <f>EAV!AI116</f>
        <v>3</v>
      </c>
      <c r="J529" s="276">
        <f>EAV!AS116</f>
        <v>3</v>
      </c>
      <c r="K529" s="276">
        <f>EAV!O116</f>
        <v>3</v>
      </c>
      <c r="L529" s="276">
        <f>EAV!AX116</f>
        <v>4</v>
      </c>
      <c r="M529" s="404">
        <f t="shared" si="119"/>
        <v>23</v>
      </c>
      <c r="N529" s="48"/>
      <c r="O529" s="412"/>
      <c r="P529" s="412"/>
      <c r="Q529" s="48"/>
      <c r="R529" s="412"/>
      <c r="S529" s="412"/>
      <c r="T529" s="48"/>
      <c r="U529" s="412"/>
      <c r="V529" s="412"/>
      <c r="W529" s="412"/>
      <c r="X529" s="412"/>
    </row>
    <row r="530" spans="2:24" ht="12.75" outlineLevel="1">
      <c r="B530" s="446" t="s">
        <v>400</v>
      </c>
      <c r="C530" s="446"/>
      <c r="D530" s="447"/>
      <c r="E530" s="276">
        <f>EAV!E117</f>
        <v>0</v>
      </c>
      <c r="F530" s="276">
        <f>EAV!J117</f>
        <v>2</v>
      </c>
      <c r="G530" s="276">
        <f>EAV!AD117</f>
        <v>2</v>
      </c>
      <c r="H530" s="276">
        <f>EAV!Y117</f>
        <v>2</v>
      </c>
      <c r="I530" s="276">
        <f>EAV!AI117</f>
        <v>2</v>
      </c>
      <c r="J530" s="276">
        <f>EAV!AS117</f>
        <v>2</v>
      </c>
      <c r="K530" s="276">
        <f>EAV!O117</f>
        <v>2</v>
      </c>
      <c r="L530" s="276">
        <f>EAV!AX117</f>
        <v>1</v>
      </c>
      <c r="M530" s="404">
        <f t="shared" si="119"/>
        <v>13</v>
      </c>
      <c r="N530" s="48"/>
      <c r="O530" s="412"/>
      <c r="P530" s="412"/>
      <c r="Q530" s="48"/>
      <c r="R530" s="412"/>
      <c r="S530" s="412"/>
      <c r="T530" s="48"/>
      <c r="U530" s="412"/>
      <c r="V530" s="412"/>
      <c r="W530" s="412"/>
      <c r="X530" s="412"/>
    </row>
    <row r="531" spans="4:24" s="45" customFormat="1" ht="12.75" outlineLevel="1">
      <c r="D531" s="447"/>
      <c r="E531" s="50"/>
      <c r="F531" s="50"/>
      <c r="G531" s="50"/>
      <c r="H531" s="48"/>
      <c r="I531" s="50"/>
      <c r="J531" s="50"/>
      <c r="K531" s="50"/>
      <c r="L531" s="48"/>
      <c r="M531" s="48"/>
      <c r="N531" s="48"/>
      <c r="O531" s="412"/>
      <c r="P531" s="412"/>
      <c r="Q531" s="48"/>
      <c r="R531" s="412"/>
      <c r="S531" s="412"/>
      <c r="T531" s="48"/>
      <c r="U531" s="412"/>
      <c r="V531" s="412"/>
      <c r="W531" s="412"/>
      <c r="X531" s="412"/>
    </row>
    <row r="532" spans="2:24" s="45" customFormat="1" ht="12.75" outlineLevel="1">
      <c r="B532" s="449" t="s">
        <v>563</v>
      </c>
      <c r="C532" s="449"/>
      <c r="D532" s="447"/>
      <c r="E532" s="57"/>
      <c r="F532" s="57"/>
      <c r="G532" s="50"/>
      <c r="H532" s="48"/>
      <c r="I532" s="57"/>
      <c r="J532" s="50"/>
      <c r="K532" s="50"/>
      <c r="L532" s="48"/>
      <c r="M532" s="48"/>
      <c r="N532" s="48"/>
      <c r="O532" s="412"/>
      <c r="P532" s="412"/>
      <c r="Q532" s="48"/>
      <c r="R532" s="412"/>
      <c r="S532" s="412"/>
      <c r="T532" s="48"/>
      <c r="U532" s="412"/>
      <c r="V532" s="412"/>
      <c r="W532" s="412"/>
      <c r="X532" s="412"/>
    </row>
    <row r="533" spans="2:24" ht="12.75" outlineLevel="1">
      <c r="B533" s="446" t="s">
        <v>404</v>
      </c>
      <c r="C533" s="446"/>
      <c r="D533" s="447"/>
      <c r="E533" s="276">
        <f>EAV!E148</f>
        <v>1</v>
      </c>
      <c r="F533" s="276">
        <f>EAV!J148</f>
        <v>1</v>
      </c>
      <c r="G533" s="276">
        <f>EAV!AD148</f>
        <v>1</v>
      </c>
      <c r="H533" s="276">
        <f>EAV!Y148</f>
        <v>1</v>
      </c>
      <c r="I533" s="276">
        <f>EAV!AI148</f>
        <v>1</v>
      </c>
      <c r="J533" s="276">
        <f>EAV!AS148</f>
        <v>1</v>
      </c>
      <c r="K533" s="276">
        <f>EAV!O148</f>
        <v>1</v>
      </c>
      <c r="L533" s="276">
        <f>EAV!AX148</f>
        <v>1</v>
      </c>
      <c r="M533" s="404">
        <f aca="true" t="shared" si="120" ref="M533:M538">SUM(E533:L533)</f>
        <v>8</v>
      </c>
      <c r="N533" s="48"/>
      <c r="O533" s="412"/>
      <c r="P533" s="412"/>
      <c r="Q533" s="48"/>
      <c r="R533" s="412"/>
      <c r="S533" s="412"/>
      <c r="T533" s="48"/>
      <c r="U533" s="412"/>
      <c r="V533" s="412"/>
      <c r="W533" s="412"/>
      <c r="X533" s="412"/>
    </row>
    <row r="534" spans="2:24" ht="12.75" outlineLevel="1">
      <c r="B534" s="446" t="s">
        <v>405</v>
      </c>
      <c r="C534" s="446"/>
      <c r="D534" s="447"/>
      <c r="E534" s="276">
        <f>EAV!E149</f>
        <v>1</v>
      </c>
      <c r="F534" s="276">
        <f>EAV!J149</f>
        <v>1</v>
      </c>
      <c r="G534" s="276">
        <f>EAV!AD149</f>
        <v>1</v>
      </c>
      <c r="H534" s="276">
        <f>EAV!Y149</f>
        <v>2</v>
      </c>
      <c r="I534" s="276">
        <f>EAV!AI149</f>
        <v>1</v>
      </c>
      <c r="J534" s="276">
        <f>EAV!AS149</f>
        <v>1</v>
      </c>
      <c r="K534" s="276">
        <f>EAV!O149</f>
        <v>1</v>
      </c>
      <c r="L534" s="276">
        <f>EAV!AX149</f>
        <v>1</v>
      </c>
      <c r="M534" s="404">
        <f t="shared" si="120"/>
        <v>9</v>
      </c>
      <c r="N534" s="48"/>
      <c r="O534" s="412"/>
      <c r="P534" s="412"/>
      <c r="Q534" s="48"/>
      <c r="R534" s="412"/>
      <c r="S534" s="412"/>
      <c r="T534" s="48"/>
      <c r="U534" s="412"/>
      <c r="V534" s="412"/>
      <c r="W534" s="412"/>
      <c r="X534" s="412"/>
    </row>
    <row r="535" spans="2:24" ht="12.75" outlineLevel="1">
      <c r="B535" s="446" t="s">
        <v>406</v>
      </c>
      <c r="C535" s="446"/>
      <c r="D535" s="447"/>
      <c r="E535" s="276">
        <f>EAV!E150</f>
        <v>4</v>
      </c>
      <c r="F535" s="276">
        <f>EAV!J150</f>
        <v>4</v>
      </c>
      <c r="G535" s="276">
        <f>EAV!AD150</f>
        <v>2</v>
      </c>
      <c r="H535" s="276">
        <f>EAV!Y150</f>
        <v>4</v>
      </c>
      <c r="I535" s="276">
        <f>EAV!AI150</f>
        <v>2</v>
      </c>
      <c r="J535" s="276">
        <f>EAV!AS150</f>
        <v>4</v>
      </c>
      <c r="K535" s="276">
        <f>EAV!O150</f>
        <v>3</v>
      </c>
      <c r="L535" s="276">
        <f>EAV!AX150</f>
        <v>4</v>
      </c>
      <c r="M535" s="404">
        <f t="shared" si="120"/>
        <v>27</v>
      </c>
      <c r="N535" s="48"/>
      <c r="O535" s="412"/>
      <c r="P535" s="412"/>
      <c r="Q535" s="48"/>
      <c r="R535" s="412"/>
      <c r="S535" s="412"/>
      <c r="T535" s="48"/>
      <c r="U535" s="412"/>
      <c r="V535" s="412"/>
      <c r="W535" s="412"/>
      <c r="X535" s="412"/>
    </row>
    <row r="536" spans="2:24" ht="12.75" outlineLevel="1">
      <c r="B536" s="446" t="s">
        <v>394</v>
      </c>
      <c r="C536" s="446"/>
      <c r="D536" s="447"/>
      <c r="E536" s="276">
        <f>EAV!E151</f>
        <v>7</v>
      </c>
      <c r="F536" s="276">
        <f>EAV!J151</f>
        <v>1</v>
      </c>
      <c r="G536" s="276">
        <f>EAV!AD151</f>
        <v>2</v>
      </c>
      <c r="H536" s="276">
        <f>EAV!Y151</f>
        <v>2</v>
      </c>
      <c r="I536" s="276">
        <f>EAV!AI151</f>
        <v>2</v>
      </c>
      <c r="J536" s="276">
        <f>EAV!AS151</f>
        <v>5</v>
      </c>
      <c r="K536" s="276">
        <f>EAV!O151</f>
        <v>2</v>
      </c>
      <c r="L536" s="276">
        <f>EAV!AX151</f>
        <v>6</v>
      </c>
      <c r="M536" s="404">
        <f t="shared" si="120"/>
        <v>27</v>
      </c>
      <c r="N536" s="48"/>
      <c r="O536" s="412"/>
      <c r="P536" s="412"/>
      <c r="Q536" s="48"/>
      <c r="R536" s="412"/>
      <c r="S536" s="412"/>
      <c r="T536" s="48"/>
      <c r="U536" s="412"/>
      <c r="V536" s="412"/>
      <c r="W536" s="412"/>
      <c r="X536" s="412"/>
    </row>
    <row r="537" spans="2:24" ht="12.75" outlineLevel="1">
      <c r="B537" s="446" t="s">
        <v>397</v>
      </c>
      <c r="C537" s="446"/>
      <c r="D537" s="447"/>
      <c r="E537" s="276">
        <f>EAV!E152</f>
        <v>3</v>
      </c>
      <c r="F537" s="276">
        <f>EAV!J152</f>
        <v>2</v>
      </c>
      <c r="G537" s="276">
        <f>EAV!AD152</f>
        <v>3</v>
      </c>
      <c r="H537" s="276">
        <f>EAV!Y152</f>
        <v>2</v>
      </c>
      <c r="I537" s="276">
        <f>EAV!AI152</f>
        <v>3</v>
      </c>
      <c r="J537" s="276">
        <f>EAV!AS152</f>
        <v>3</v>
      </c>
      <c r="K537" s="276">
        <f>EAV!O152</f>
        <v>3</v>
      </c>
      <c r="L537" s="276">
        <f>EAV!AX152</f>
        <v>4</v>
      </c>
      <c r="M537" s="404">
        <f t="shared" si="120"/>
        <v>23</v>
      </c>
      <c r="N537" s="48"/>
      <c r="O537" s="412"/>
      <c r="P537" s="412"/>
      <c r="Q537" s="48"/>
      <c r="R537" s="412"/>
      <c r="S537" s="412"/>
      <c r="T537" s="48"/>
      <c r="U537" s="412"/>
      <c r="V537" s="412"/>
      <c r="W537" s="412"/>
      <c r="X537" s="412"/>
    </row>
    <row r="538" spans="2:24" ht="12.75" outlineLevel="1">
      <c r="B538" s="446" t="s">
        <v>400</v>
      </c>
      <c r="C538" s="446"/>
      <c r="D538" s="447"/>
      <c r="E538" s="276">
        <f>EAV!E153</f>
        <v>0</v>
      </c>
      <c r="F538" s="276">
        <f>EAV!J153</f>
        <v>2</v>
      </c>
      <c r="G538" s="276">
        <f>EAV!AD153</f>
        <v>2</v>
      </c>
      <c r="H538" s="276">
        <f>EAV!Y153</f>
        <v>2</v>
      </c>
      <c r="I538" s="276">
        <f>EAV!AI153</f>
        <v>2</v>
      </c>
      <c r="J538" s="276">
        <f>EAV!AS153</f>
        <v>2</v>
      </c>
      <c r="K538" s="276">
        <f>EAV!O153</f>
        <v>2</v>
      </c>
      <c r="L538" s="276">
        <f>EAV!AX153</f>
        <v>1</v>
      </c>
      <c r="M538" s="404">
        <f t="shared" si="120"/>
        <v>13</v>
      </c>
      <c r="N538" s="48"/>
      <c r="O538" s="412"/>
      <c r="P538" s="412"/>
      <c r="Q538" s="48"/>
      <c r="R538" s="412"/>
      <c r="S538" s="412"/>
      <c r="T538" s="48"/>
      <c r="U538" s="412"/>
      <c r="V538" s="412"/>
      <c r="W538" s="412"/>
      <c r="X538" s="412"/>
    </row>
    <row r="539" spans="2:24" s="45" customFormat="1" ht="12.75" outlineLevel="1">
      <c r="B539" s="447"/>
      <c r="C539" s="447"/>
      <c r="D539" s="447"/>
      <c r="E539" s="50"/>
      <c r="F539" s="57"/>
      <c r="G539" s="50"/>
      <c r="H539" s="48"/>
      <c r="I539" s="50"/>
      <c r="J539" s="50"/>
      <c r="K539" s="50"/>
      <c r="L539" s="48"/>
      <c r="M539" s="48"/>
      <c r="N539" s="48"/>
      <c r="O539" s="412"/>
      <c r="P539" s="412"/>
      <c r="Q539" s="48"/>
      <c r="R539" s="412"/>
      <c r="S539" s="412"/>
      <c r="T539" s="48"/>
      <c r="U539" s="412"/>
      <c r="V539" s="412"/>
      <c r="W539" s="412"/>
      <c r="X539" s="412"/>
    </row>
    <row r="540" spans="2:24" ht="12.75" outlineLevel="1">
      <c r="B540" s="448" t="s">
        <v>256</v>
      </c>
      <c r="C540" s="448"/>
      <c r="D540" s="448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489"/>
      <c r="P540" s="489"/>
      <c r="Q540" s="71"/>
      <c r="R540" s="489"/>
      <c r="S540" s="489"/>
      <c r="T540" s="71"/>
      <c r="U540" s="489"/>
      <c r="V540" s="489"/>
      <c r="W540" s="489"/>
      <c r="X540" s="489"/>
    </row>
    <row r="541" spans="2:24" ht="12.75" outlineLevel="1">
      <c r="B541" s="447" t="s">
        <v>275</v>
      </c>
      <c r="C541" s="447"/>
      <c r="D541" s="447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489"/>
      <c r="P541" s="489"/>
      <c r="Q541" s="71"/>
      <c r="R541" s="489"/>
      <c r="S541" s="489"/>
      <c r="T541" s="71"/>
      <c r="U541" s="489"/>
      <c r="V541" s="489"/>
      <c r="W541" s="489"/>
      <c r="X541" s="489"/>
    </row>
    <row r="542" spans="2:24" ht="12.75" outlineLevel="1">
      <c r="B542" s="448" t="s">
        <v>237</v>
      </c>
      <c r="C542" s="448"/>
      <c r="D542" s="448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489"/>
      <c r="P542" s="489"/>
      <c r="Q542" s="71"/>
      <c r="R542" s="489"/>
      <c r="S542" s="489"/>
      <c r="T542" s="71"/>
      <c r="U542" s="489"/>
      <c r="V542" s="489"/>
      <c r="W542" s="489"/>
      <c r="X542" s="489"/>
    </row>
    <row r="543" spans="2:24" ht="12.75" outlineLevel="1">
      <c r="B543" s="447" t="s">
        <v>231</v>
      </c>
      <c r="C543" s="447"/>
      <c r="D543" s="447"/>
      <c r="E543" s="46">
        <v>0</v>
      </c>
      <c r="F543" s="46">
        <v>1</v>
      </c>
      <c r="G543" s="46">
        <v>0</v>
      </c>
      <c r="H543" s="46">
        <v>1</v>
      </c>
      <c r="I543" s="46">
        <v>1</v>
      </c>
      <c r="J543" s="46">
        <v>0</v>
      </c>
      <c r="K543" s="46">
        <v>1</v>
      </c>
      <c r="L543" s="46">
        <v>0</v>
      </c>
      <c r="M543" s="404">
        <f>SUM(E543:L543)</f>
        <v>4</v>
      </c>
      <c r="N543" s="71"/>
      <c r="O543" s="489"/>
      <c r="P543" s="489"/>
      <c r="Q543" s="71"/>
      <c r="R543" s="489"/>
      <c r="S543" s="489"/>
      <c r="T543" s="71"/>
      <c r="U543" s="489"/>
      <c r="V543" s="489"/>
      <c r="W543" s="489"/>
      <c r="X543" s="489"/>
    </row>
    <row r="544" spans="2:24" ht="12.75" outlineLevel="1">
      <c r="B544" s="447" t="s">
        <v>275</v>
      </c>
      <c r="C544" s="447"/>
      <c r="D544" s="447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489"/>
      <c r="P544" s="489"/>
      <c r="Q544" s="71"/>
      <c r="R544" s="489"/>
      <c r="S544" s="489"/>
      <c r="T544" s="71"/>
      <c r="U544" s="489"/>
      <c r="V544" s="489"/>
      <c r="W544" s="489"/>
      <c r="X544" s="489"/>
    </row>
    <row r="545" spans="2:24" ht="12.75" outlineLevel="1">
      <c r="B545" s="448" t="s">
        <v>239</v>
      </c>
      <c r="C545" s="448"/>
      <c r="D545" s="448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489"/>
      <c r="P545" s="489"/>
      <c r="Q545" s="71"/>
      <c r="R545" s="489"/>
      <c r="S545" s="489"/>
      <c r="T545" s="71"/>
      <c r="U545" s="489"/>
      <c r="V545" s="489"/>
      <c r="W545" s="489"/>
      <c r="X545" s="489"/>
    </row>
    <row r="546" spans="2:24" ht="12.75" outlineLevel="1">
      <c r="B546" s="447" t="s">
        <v>231</v>
      </c>
      <c r="C546" s="447"/>
      <c r="D546" s="447"/>
      <c r="E546" s="46">
        <v>0</v>
      </c>
      <c r="F546" s="46">
        <v>1</v>
      </c>
      <c r="G546" s="46">
        <v>0</v>
      </c>
      <c r="H546" s="46">
        <v>1</v>
      </c>
      <c r="I546" s="46">
        <v>1</v>
      </c>
      <c r="J546" s="46">
        <v>0</v>
      </c>
      <c r="K546" s="46">
        <v>1</v>
      </c>
      <c r="L546" s="46">
        <v>0</v>
      </c>
      <c r="M546" s="404">
        <f>SUM(E546:L546)</f>
        <v>4</v>
      </c>
      <c r="N546" s="71"/>
      <c r="O546" s="489"/>
      <c r="P546" s="489"/>
      <c r="Q546" s="71"/>
      <c r="R546" s="489"/>
      <c r="S546" s="489"/>
      <c r="T546" s="71"/>
      <c r="U546" s="489"/>
      <c r="V546" s="489"/>
      <c r="W546" s="489"/>
      <c r="X546" s="489"/>
    </row>
    <row r="547" spans="2:24" ht="12.75" outlineLevel="1">
      <c r="B547" s="447" t="s">
        <v>275</v>
      </c>
      <c r="C547" s="447"/>
      <c r="D547" s="447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489"/>
      <c r="P547" s="489"/>
      <c r="Q547" s="71"/>
      <c r="R547" s="489"/>
      <c r="S547" s="489"/>
      <c r="T547" s="71"/>
      <c r="U547" s="489"/>
      <c r="V547" s="489"/>
      <c r="W547" s="489"/>
      <c r="X547" s="489"/>
    </row>
    <row r="548" spans="2:24" ht="12.75" outlineLevel="1">
      <c r="B548" s="448" t="s">
        <v>241</v>
      </c>
      <c r="C548" s="448"/>
      <c r="D548" s="448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489"/>
      <c r="P548" s="489"/>
      <c r="Q548" s="71"/>
      <c r="R548" s="489"/>
      <c r="S548" s="489"/>
      <c r="T548" s="71"/>
      <c r="U548" s="489"/>
      <c r="V548" s="489"/>
      <c r="W548" s="489"/>
      <c r="X548" s="489"/>
    </row>
    <row r="549" spans="2:24" ht="12.75" outlineLevel="1">
      <c r="B549" s="447" t="s">
        <v>231</v>
      </c>
      <c r="C549" s="447"/>
      <c r="D549" s="447"/>
      <c r="E549" s="46">
        <v>0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04">
        <f>SUM(E549:L549)</f>
        <v>0</v>
      </c>
      <c r="N549" s="71"/>
      <c r="O549" s="489"/>
      <c r="P549" s="489"/>
      <c r="Q549" s="71"/>
      <c r="R549" s="489"/>
      <c r="S549" s="489"/>
      <c r="T549" s="71"/>
      <c r="U549" s="489"/>
      <c r="V549" s="489"/>
      <c r="W549" s="489"/>
      <c r="X549" s="489"/>
    </row>
    <row r="550" spans="2:24" ht="12.75" outlineLevel="1">
      <c r="B550" s="447" t="s">
        <v>275</v>
      </c>
      <c r="C550" s="447"/>
      <c r="D550" s="447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489"/>
      <c r="P550" s="489"/>
      <c r="Q550" s="71"/>
      <c r="R550" s="489"/>
      <c r="S550" s="489"/>
      <c r="T550" s="71"/>
      <c r="U550" s="489"/>
      <c r="V550" s="489"/>
      <c r="W550" s="489"/>
      <c r="X550" s="489"/>
    </row>
    <row r="551" spans="2:24" ht="12.75" outlineLevel="1">
      <c r="B551" s="448" t="s">
        <v>243</v>
      </c>
      <c r="C551" s="448"/>
      <c r="D551" s="448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489"/>
      <c r="P551" s="489"/>
      <c r="Q551" s="71"/>
      <c r="R551" s="489"/>
      <c r="S551" s="489"/>
      <c r="T551" s="71"/>
      <c r="U551" s="489"/>
      <c r="V551" s="489"/>
      <c r="W551" s="489"/>
      <c r="X551" s="489"/>
    </row>
    <row r="552" spans="2:24" ht="12.75" outlineLevel="1">
      <c r="B552" s="447" t="s">
        <v>231</v>
      </c>
      <c r="C552" s="447"/>
      <c r="D552" s="447"/>
      <c r="E552" s="46">
        <v>0</v>
      </c>
      <c r="F552" s="46">
        <v>1</v>
      </c>
      <c r="G552" s="46">
        <v>1</v>
      </c>
      <c r="H552" s="46">
        <v>1</v>
      </c>
      <c r="I552" s="46">
        <v>1</v>
      </c>
      <c r="J552" s="46">
        <v>0</v>
      </c>
      <c r="K552" s="46">
        <v>1</v>
      </c>
      <c r="L552" s="46">
        <v>1</v>
      </c>
      <c r="M552" s="404">
        <f>SUM(E552:L552)</f>
        <v>6</v>
      </c>
      <c r="N552" s="71"/>
      <c r="O552" s="489"/>
      <c r="P552" s="489"/>
      <c r="Q552" s="71"/>
      <c r="R552" s="489"/>
      <c r="S552" s="489"/>
      <c r="T552" s="71"/>
      <c r="U552" s="489"/>
      <c r="V552" s="489"/>
      <c r="W552" s="489"/>
      <c r="X552" s="489"/>
    </row>
    <row r="553" spans="2:24" ht="12.75" outlineLevel="1">
      <c r="B553" s="447" t="s">
        <v>275</v>
      </c>
      <c r="C553" s="447"/>
      <c r="D553" s="447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489"/>
      <c r="P553" s="489"/>
      <c r="Q553" s="71"/>
      <c r="R553" s="489"/>
      <c r="S553" s="489"/>
      <c r="T553" s="71"/>
      <c r="U553" s="489"/>
      <c r="V553" s="489"/>
      <c r="W553" s="489"/>
      <c r="X553" s="489"/>
    </row>
    <row r="554" spans="2:24" ht="12.75" outlineLevel="1">
      <c r="B554" s="448" t="s">
        <v>244</v>
      </c>
      <c r="C554" s="448"/>
      <c r="D554" s="448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489"/>
      <c r="P554" s="489"/>
      <c r="Q554" s="71"/>
      <c r="R554" s="489"/>
      <c r="S554" s="489"/>
      <c r="T554" s="71"/>
      <c r="U554" s="489"/>
      <c r="V554" s="489"/>
      <c r="W554" s="489"/>
      <c r="X554" s="489"/>
    </row>
    <row r="555" spans="2:24" ht="12.75" outlineLevel="1">
      <c r="B555" s="447" t="s">
        <v>231</v>
      </c>
      <c r="C555" s="447"/>
      <c r="D555" s="447"/>
      <c r="E555" s="46">
        <v>1</v>
      </c>
      <c r="F555" s="46">
        <v>1</v>
      </c>
      <c r="G555" s="46">
        <v>0</v>
      </c>
      <c r="H555" s="46">
        <v>1</v>
      </c>
      <c r="I555" s="46">
        <v>1</v>
      </c>
      <c r="J555" s="46">
        <v>1</v>
      </c>
      <c r="K555" s="46">
        <v>1</v>
      </c>
      <c r="L555" s="46">
        <v>1</v>
      </c>
      <c r="M555" s="404">
        <f>SUM(E555:L555)</f>
        <v>7</v>
      </c>
      <c r="N555" s="71"/>
      <c r="O555" s="489"/>
      <c r="P555" s="489"/>
      <c r="Q555" s="71"/>
      <c r="R555" s="489"/>
      <c r="S555" s="489"/>
      <c r="T555" s="71"/>
      <c r="U555" s="489"/>
      <c r="V555" s="489"/>
      <c r="W555" s="489"/>
      <c r="X555" s="489"/>
    </row>
    <row r="556" spans="2:24" ht="12.75" outlineLevel="1">
      <c r="B556" s="447" t="s">
        <v>275</v>
      </c>
      <c r="C556" s="447"/>
      <c r="D556" s="447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489"/>
      <c r="P556" s="489"/>
      <c r="Q556" s="71"/>
      <c r="R556" s="489"/>
      <c r="S556" s="489"/>
      <c r="T556" s="71"/>
      <c r="U556" s="489"/>
      <c r="V556" s="489"/>
      <c r="W556" s="489"/>
      <c r="X556" s="489"/>
    </row>
    <row r="557" spans="2:24" ht="12.75">
      <c r="B557" s="447"/>
      <c r="C557" s="447"/>
      <c r="D557" s="447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489"/>
      <c r="P557" s="489"/>
      <c r="Q557" s="71"/>
      <c r="R557" s="489"/>
      <c r="S557" s="489"/>
      <c r="T557" s="71"/>
      <c r="U557" s="489"/>
      <c r="V557" s="489"/>
      <c r="W557" s="489"/>
      <c r="X557" s="489"/>
    </row>
    <row r="558" spans="2:24" ht="12.75">
      <c r="B558" s="447"/>
      <c r="C558" s="447"/>
      <c r="D558" s="447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489"/>
      <c r="P558" s="489"/>
      <c r="Q558" s="71"/>
      <c r="R558" s="489"/>
      <c r="S558" s="489"/>
      <c r="T558" s="71"/>
      <c r="U558" s="489"/>
      <c r="V558" s="489"/>
      <c r="W558" s="489"/>
      <c r="X558" s="489"/>
    </row>
    <row r="559" spans="2:24" ht="12.75">
      <c r="B559" s="447"/>
      <c r="C559" s="447"/>
      <c r="D559" s="447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489"/>
      <c r="P559" s="489"/>
      <c r="Q559" s="71"/>
      <c r="R559" s="489"/>
      <c r="S559" s="489"/>
      <c r="T559" s="71"/>
      <c r="U559" s="489"/>
      <c r="V559" s="489"/>
      <c r="W559" s="489"/>
      <c r="X559" s="489"/>
    </row>
    <row r="560" spans="2:24" ht="12.75">
      <c r="B560" s="447"/>
      <c r="C560" s="447"/>
      <c r="D560" s="447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489"/>
      <c r="P560" s="489"/>
      <c r="Q560" s="71"/>
      <c r="R560" s="489"/>
      <c r="S560" s="489"/>
      <c r="T560" s="71"/>
      <c r="U560" s="489"/>
      <c r="V560" s="489"/>
      <c r="W560" s="489"/>
      <c r="X560" s="489"/>
    </row>
    <row r="561" spans="2:24" ht="12.75">
      <c r="B561" s="447"/>
      <c r="C561" s="447"/>
      <c r="D561" s="447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489"/>
      <c r="P561" s="489"/>
      <c r="Q561" s="71"/>
      <c r="R561" s="489"/>
      <c r="S561" s="489"/>
      <c r="T561" s="71"/>
      <c r="U561" s="489"/>
      <c r="V561" s="489"/>
      <c r="W561" s="489"/>
      <c r="X561" s="489"/>
    </row>
    <row r="562" spans="2:24" ht="12.75">
      <c r="B562" s="447"/>
      <c r="C562" s="447"/>
      <c r="D562" s="447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489"/>
      <c r="P562" s="489"/>
      <c r="Q562" s="71"/>
      <c r="R562" s="489"/>
      <c r="S562" s="489"/>
      <c r="T562" s="71"/>
      <c r="U562" s="489"/>
      <c r="V562" s="489"/>
      <c r="W562" s="489"/>
      <c r="X562" s="489"/>
    </row>
    <row r="563" spans="2:24" ht="12.75">
      <c r="B563" s="447"/>
      <c r="C563" s="447"/>
      <c r="D563" s="447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489"/>
      <c r="P563" s="489"/>
      <c r="Q563" s="71"/>
      <c r="R563" s="489"/>
      <c r="S563" s="489"/>
      <c r="T563" s="71"/>
      <c r="U563" s="489"/>
      <c r="V563" s="489"/>
      <c r="W563" s="489"/>
      <c r="X563" s="489"/>
    </row>
    <row r="564" spans="2:24" ht="12.75">
      <c r="B564" s="447"/>
      <c r="C564" s="447"/>
      <c r="D564" s="447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489"/>
      <c r="P564" s="489"/>
      <c r="Q564" s="71"/>
      <c r="R564" s="489"/>
      <c r="S564" s="489"/>
      <c r="T564" s="71"/>
      <c r="U564" s="489"/>
      <c r="V564" s="489"/>
      <c r="W564" s="489"/>
      <c r="X564" s="489"/>
    </row>
    <row r="565" spans="5:24" ht="12.75"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489"/>
      <c r="P565" s="489"/>
      <c r="Q565" s="71"/>
      <c r="R565" s="489"/>
      <c r="S565" s="489"/>
      <c r="T565" s="71"/>
      <c r="U565" s="489"/>
      <c r="V565" s="489"/>
      <c r="W565" s="489"/>
      <c r="X565" s="489"/>
    </row>
    <row r="566" spans="5:24" ht="12.75"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489"/>
      <c r="P566" s="489"/>
      <c r="Q566" s="71"/>
      <c r="R566" s="489"/>
      <c r="S566" s="489"/>
      <c r="T566" s="71"/>
      <c r="U566" s="489"/>
      <c r="V566" s="489"/>
      <c r="W566" s="489"/>
      <c r="X566" s="489"/>
    </row>
    <row r="567" spans="5:24" ht="12.75"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489"/>
      <c r="P567" s="489"/>
      <c r="Q567" s="71"/>
      <c r="R567" s="489"/>
      <c r="S567" s="489"/>
      <c r="T567" s="71"/>
      <c r="U567" s="489"/>
      <c r="V567" s="489"/>
      <c r="W567" s="489"/>
      <c r="X567" s="489"/>
    </row>
    <row r="568" spans="5:24" ht="12.75"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489"/>
      <c r="P568" s="489"/>
      <c r="Q568" s="71"/>
      <c r="R568" s="489"/>
      <c r="S568" s="489"/>
      <c r="T568" s="71"/>
      <c r="U568" s="489"/>
      <c r="V568" s="489"/>
      <c r="W568" s="489"/>
      <c r="X568" s="489"/>
    </row>
    <row r="569" spans="5:24" ht="12.75"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489"/>
      <c r="P569" s="489"/>
      <c r="Q569" s="71"/>
      <c r="R569" s="489"/>
      <c r="S569" s="489"/>
      <c r="T569" s="71"/>
      <c r="U569" s="489"/>
      <c r="V569" s="489"/>
      <c r="W569" s="489"/>
      <c r="X569" s="489"/>
    </row>
    <row r="570" spans="5:24" ht="12.75"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489"/>
      <c r="P570" s="489"/>
      <c r="Q570" s="71"/>
      <c r="R570" s="489"/>
      <c r="S570" s="489"/>
      <c r="T570" s="71"/>
      <c r="U570" s="489"/>
      <c r="V570" s="489"/>
      <c r="W570" s="489"/>
      <c r="X570" s="489"/>
    </row>
    <row r="571" spans="5:24" ht="12.75"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489"/>
      <c r="P571" s="489"/>
      <c r="Q571" s="71"/>
      <c r="R571" s="489"/>
      <c r="S571" s="489"/>
      <c r="T571" s="71"/>
      <c r="U571" s="489"/>
      <c r="V571" s="489"/>
      <c r="W571" s="489"/>
      <c r="X571" s="489"/>
    </row>
    <row r="572" spans="5:24" ht="12.75"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489"/>
      <c r="P572" s="489"/>
      <c r="Q572" s="71"/>
      <c r="R572" s="489"/>
      <c r="S572" s="489"/>
      <c r="T572" s="71"/>
      <c r="U572" s="489"/>
      <c r="V572" s="489"/>
      <c r="W572" s="489"/>
      <c r="X572" s="489"/>
    </row>
    <row r="573" spans="5:24" ht="12.75"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489"/>
      <c r="P573" s="489"/>
      <c r="Q573" s="71"/>
      <c r="R573" s="489"/>
      <c r="S573" s="489"/>
      <c r="T573" s="71"/>
      <c r="U573" s="489"/>
      <c r="V573" s="489"/>
      <c r="W573" s="489"/>
      <c r="X573" s="489"/>
    </row>
    <row r="574" spans="5:24" ht="12.75"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489"/>
      <c r="P574" s="489"/>
      <c r="Q574" s="71"/>
      <c r="R574" s="489"/>
      <c r="S574" s="489"/>
      <c r="T574" s="71"/>
      <c r="U574" s="489"/>
      <c r="V574" s="489"/>
      <c r="W574" s="489"/>
      <c r="X574" s="489"/>
    </row>
    <row r="575" spans="5:24" ht="12.75"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489"/>
      <c r="P575" s="489"/>
      <c r="Q575" s="71"/>
      <c r="R575" s="489"/>
      <c r="S575" s="489"/>
      <c r="T575" s="71"/>
      <c r="U575" s="489"/>
      <c r="V575" s="489"/>
      <c r="W575" s="489"/>
      <c r="X575" s="489"/>
    </row>
    <row r="576" spans="5:24" ht="12.75"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489"/>
      <c r="P576" s="489"/>
      <c r="Q576" s="71"/>
      <c r="R576" s="489"/>
      <c r="S576" s="489"/>
      <c r="T576" s="71"/>
      <c r="U576" s="489"/>
      <c r="V576" s="489"/>
      <c r="W576" s="489"/>
      <c r="X576" s="489"/>
    </row>
    <row r="577" spans="5:24" ht="12.75"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489"/>
      <c r="P577" s="489"/>
      <c r="Q577" s="71"/>
      <c r="R577" s="489"/>
      <c r="S577" s="489"/>
      <c r="T577" s="71"/>
      <c r="U577" s="489"/>
      <c r="V577" s="489"/>
      <c r="W577" s="489"/>
      <c r="X577" s="489"/>
    </row>
    <row r="578" spans="5:24" ht="12.75"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489"/>
      <c r="P578" s="489"/>
      <c r="Q578" s="71"/>
      <c r="R578" s="489"/>
      <c r="S578" s="489"/>
      <c r="T578" s="71"/>
      <c r="U578" s="489"/>
      <c r="V578" s="489"/>
      <c r="W578" s="489"/>
      <c r="X578" s="489"/>
    </row>
    <row r="579" spans="5:24" ht="12.75"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489"/>
      <c r="P579" s="489"/>
      <c r="Q579" s="71"/>
      <c r="R579" s="489"/>
      <c r="S579" s="489"/>
      <c r="T579" s="71"/>
      <c r="U579" s="489"/>
      <c r="V579" s="489"/>
      <c r="W579" s="489"/>
      <c r="X579" s="489"/>
    </row>
    <row r="580" spans="5:24" ht="12.75"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489"/>
      <c r="P580" s="489"/>
      <c r="Q580" s="71"/>
      <c r="R580" s="489"/>
      <c r="S580" s="489"/>
      <c r="T580" s="71"/>
      <c r="U580" s="489"/>
      <c r="V580" s="489"/>
      <c r="W580" s="489"/>
      <c r="X580" s="489"/>
    </row>
    <row r="581" spans="5:24" ht="12.75"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489"/>
      <c r="P581" s="489"/>
      <c r="Q581" s="71"/>
      <c r="R581" s="489"/>
      <c r="S581" s="489"/>
      <c r="T581" s="71"/>
      <c r="U581" s="489"/>
      <c r="V581" s="489"/>
      <c r="W581" s="489"/>
      <c r="X581" s="489"/>
    </row>
    <row r="582" spans="5:24" ht="12.75"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489"/>
      <c r="P582" s="489"/>
      <c r="Q582" s="71"/>
      <c r="R582" s="489"/>
      <c r="S582" s="489"/>
      <c r="T582" s="71"/>
      <c r="U582" s="489"/>
      <c r="V582" s="489"/>
      <c r="W582" s="489"/>
      <c r="X582" s="489"/>
    </row>
    <row r="583" spans="5:24" ht="12.75"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489"/>
      <c r="P583" s="489"/>
      <c r="Q583" s="71"/>
      <c r="R583" s="489"/>
      <c r="S583" s="489"/>
      <c r="T583" s="71"/>
      <c r="U583" s="489"/>
      <c r="V583" s="489"/>
      <c r="W583" s="489"/>
      <c r="X583" s="489"/>
    </row>
    <row r="584" spans="5:24" ht="12.75"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489"/>
      <c r="P584" s="489"/>
      <c r="Q584" s="71"/>
      <c r="R584" s="489"/>
      <c r="S584" s="489"/>
      <c r="T584" s="71"/>
      <c r="U584" s="489"/>
      <c r="V584" s="489"/>
      <c r="W584" s="489"/>
      <c r="X584" s="489"/>
    </row>
    <row r="585" spans="5:24" ht="12.75"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489"/>
      <c r="P585" s="489"/>
      <c r="Q585" s="71"/>
      <c r="R585" s="489"/>
      <c r="S585" s="489"/>
      <c r="T585" s="71"/>
      <c r="U585" s="489"/>
      <c r="V585" s="489"/>
      <c r="W585" s="489"/>
      <c r="X585" s="489"/>
    </row>
    <row r="586" spans="5:24" ht="12.75"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489"/>
      <c r="P586" s="489"/>
      <c r="Q586" s="71"/>
      <c r="R586" s="489"/>
      <c r="S586" s="489"/>
      <c r="T586" s="71"/>
      <c r="U586" s="489"/>
      <c r="V586" s="489"/>
      <c r="W586" s="489"/>
      <c r="X586" s="489"/>
    </row>
    <row r="587" spans="5:24" ht="12.75"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489"/>
      <c r="P587" s="489"/>
      <c r="Q587" s="71"/>
      <c r="R587" s="489"/>
      <c r="S587" s="489"/>
      <c r="T587" s="71"/>
      <c r="U587" s="489"/>
      <c r="V587" s="489"/>
      <c r="W587" s="489"/>
      <c r="X587" s="489"/>
    </row>
    <row r="588" spans="5:24" ht="12.75"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489"/>
      <c r="P588" s="489"/>
      <c r="Q588" s="71"/>
      <c r="R588" s="489"/>
      <c r="S588" s="489"/>
      <c r="T588" s="71"/>
      <c r="U588" s="489"/>
      <c r="V588" s="489"/>
      <c r="W588" s="489"/>
      <c r="X588" s="489"/>
    </row>
    <row r="589" spans="5:24" ht="12.75"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489"/>
      <c r="P589" s="489"/>
      <c r="Q589" s="71"/>
      <c r="R589" s="489"/>
      <c r="S589" s="489"/>
      <c r="T589" s="71"/>
      <c r="U589" s="489"/>
      <c r="V589" s="489"/>
      <c r="W589" s="489"/>
      <c r="X589" s="489"/>
    </row>
    <row r="590" spans="5:24" ht="12.75"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489"/>
      <c r="P590" s="489"/>
      <c r="Q590" s="71"/>
      <c r="R590" s="489"/>
      <c r="S590" s="489"/>
      <c r="T590" s="71"/>
      <c r="U590" s="489"/>
      <c r="V590" s="489"/>
      <c r="W590" s="489"/>
      <c r="X590" s="489"/>
    </row>
    <row r="591" spans="5:24" ht="12.75"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489"/>
      <c r="P591" s="489"/>
      <c r="Q591" s="71"/>
      <c r="R591" s="489"/>
      <c r="S591" s="489"/>
      <c r="T591" s="71"/>
      <c r="U591" s="489"/>
      <c r="V591" s="489"/>
      <c r="W591" s="489"/>
      <c r="X591" s="489"/>
    </row>
    <row r="592" spans="5:24" ht="12.75"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489"/>
      <c r="P592" s="489"/>
      <c r="Q592" s="71"/>
      <c r="R592" s="489"/>
      <c r="S592" s="489"/>
      <c r="T592" s="71"/>
      <c r="U592" s="489"/>
      <c r="V592" s="489"/>
      <c r="W592" s="489"/>
      <c r="X592" s="489"/>
    </row>
    <row r="593" spans="5:24" ht="12.75"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489"/>
      <c r="P593" s="489"/>
      <c r="Q593" s="71"/>
      <c r="R593" s="489"/>
      <c r="S593" s="489"/>
      <c r="T593" s="71"/>
      <c r="U593" s="489"/>
      <c r="V593" s="489"/>
      <c r="W593" s="489"/>
      <c r="X593" s="489"/>
    </row>
    <row r="594" spans="5:24" ht="12.75"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489"/>
      <c r="P594" s="489"/>
      <c r="Q594" s="71"/>
      <c r="R594" s="489"/>
      <c r="S594" s="489"/>
      <c r="T594" s="71"/>
      <c r="U594" s="489"/>
      <c r="V594" s="489"/>
      <c r="W594" s="489"/>
      <c r="X594" s="489"/>
    </row>
    <row r="595" spans="5:24" ht="12.75"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489"/>
      <c r="P595" s="489"/>
      <c r="Q595" s="71"/>
      <c r="R595" s="489"/>
      <c r="S595" s="489"/>
      <c r="T595" s="71"/>
      <c r="U595" s="489"/>
      <c r="V595" s="489"/>
      <c r="W595" s="489"/>
      <c r="X595" s="489"/>
    </row>
    <row r="596" spans="5:24" ht="12.75"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489"/>
      <c r="P596" s="489"/>
      <c r="Q596" s="71"/>
      <c r="R596" s="489"/>
      <c r="S596" s="489"/>
      <c r="T596" s="71"/>
      <c r="U596" s="489"/>
      <c r="V596" s="489"/>
      <c r="W596" s="489"/>
      <c r="X596" s="489"/>
    </row>
    <row r="597" spans="5:24" ht="12.75"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489"/>
      <c r="P597" s="489"/>
      <c r="Q597" s="71"/>
      <c r="R597" s="489"/>
      <c r="S597" s="489"/>
      <c r="T597" s="71"/>
      <c r="U597" s="489"/>
      <c r="V597" s="489"/>
      <c r="W597" s="489"/>
      <c r="X597" s="489"/>
    </row>
    <row r="598" spans="5:24" ht="12.75"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489"/>
      <c r="P598" s="489"/>
      <c r="Q598" s="71"/>
      <c r="R598" s="489"/>
      <c r="S598" s="489"/>
      <c r="T598" s="71"/>
      <c r="U598" s="489"/>
      <c r="V598" s="489"/>
      <c r="W598" s="489"/>
      <c r="X598" s="489"/>
    </row>
    <row r="599" spans="5:24" ht="12.75"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489"/>
      <c r="P599" s="489"/>
      <c r="Q599" s="71"/>
      <c r="R599" s="489"/>
      <c r="S599" s="489"/>
      <c r="T599" s="71"/>
      <c r="U599" s="489"/>
      <c r="V599" s="489"/>
      <c r="W599" s="489"/>
      <c r="X599" s="489"/>
    </row>
    <row r="600" spans="5:24" ht="12.75"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489"/>
      <c r="P600" s="489"/>
      <c r="Q600" s="71"/>
      <c r="R600" s="489"/>
      <c r="S600" s="489"/>
      <c r="T600" s="71"/>
      <c r="U600" s="489"/>
      <c r="V600" s="489"/>
      <c r="W600" s="489"/>
      <c r="X600" s="489"/>
    </row>
    <row r="601" spans="5:24" ht="12.75"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489"/>
      <c r="P601" s="489"/>
      <c r="Q601" s="71"/>
      <c r="R601" s="489"/>
      <c r="S601" s="489"/>
      <c r="T601" s="71"/>
      <c r="U601" s="489"/>
      <c r="V601" s="489"/>
      <c r="W601" s="489"/>
      <c r="X601" s="489"/>
    </row>
    <row r="602" spans="5:24" ht="12.75"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489"/>
      <c r="P602" s="489"/>
      <c r="Q602" s="71"/>
      <c r="R602" s="489"/>
      <c r="S602" s="489"/>
      <c r="T602" s="71"/>
      <c r="U602" s="489"/>
      <c r="V602" s="489"/>
      <c r="W602" s="489"/>
      <c r="X602" s="489"/>
    </row>
    <row r="603" spans="5:24" ht="12.75"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489"/>
      <c r="P603" s="489"/>
      <c r="Q603" s="71"/>
      <c r="R603" s="489"/>
      <c r="S603" s="489"/>
      <c r="T603" s="71"/>
      <c r="U603" s="489"/>
      <c r="V603" s="489"/>
      <c r="W603" s="489"/>
      <c r="X603" s="489"/>
    </row>
    <row r="604" spans="5:24" ht="12.75"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489"/>
      <c r="P604" s="489"/>
      <c r="Q604" s="71"/>
      <c r="R604" s="489"/>
      <c r="S604" s="489"/>
      <c r="T604" s="71"/>
      <c r="U604" s="489"/>
      <c r="V604" s="489"/>
      <c r="W604" s="489"/>
      <c r="X604" s="489"/>
    </row>
    <row r="605" spans="5:24" ht="12.75"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489"/>
      <c r="P605" s="489"/>
      <c r="Q605" s="71"/>
      <c r="R605" s="489"/>
      <c r="S605" s="489"/>
      <c r="T605" s="71"/>
      <c r="U605" s="489"/>
      <c r="V605" s="489"/>
      <c r="W605" s="489"/>
      <c r="X605" s="489"/>
    </row>
    <row r="606" spans="5:24" ht="12.75"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489"/>
      <c r="P606" s="489"/>
      <c r="Q606" s="71"/>
      <c r="R606" s="489"/>
      <c r="S606" s="489"/>
      <c r="T606" s="71"/>
      <c r="U606" s="489"/>
      <c r="V606" s="489"/>
      <c r="W606" s="489"/>
      <c r="X606" s="489"/>
    </row>
    <row r="607" spans="5:24" ht="12.75"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489"/>
      <c r="P607" s="489"/>
      <c r="Q607" s="71"/>
      <c r="R607" s="489"/>
      <c r="S607" s="489"/>
      <c r="T607" s="71"/>
      <c r="U607" s="489"/>
      <c r="V607" s="489"/>
      <c r="W607" s="489"/>
      <c r="X607" s="489"/>
    </row>
    <row r="608" spans="5:24" ht="12.75"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489"/>
      <c r="P608" s="489"/>
      <c r="Q608" s="71"/>
      <c r="R608" s="489"/>
      <c r="S608" s="489"/>
      <c r="T608" s="71"/>
      <c r="U608" s="489"/>
      <c r="V608" s="489"/>
      <c r="W608" s="489"/>
      <c r="X608" s="489"/>
    </row>
    <row r="609" spans="5:24" ht="12.75"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489"/>
      <c r="P609" s="489"/>
      <c r="Q609" s="71"/>
      <c r="R609" s="489"/>
      <c r="S609" s="489"/>
      <c r="T609" s="71"/>
      <c r="U609" s="489"/>
      <c r="V609" s="489"/>
      <c r="W609" s="489"/>
      <c r="X609" s="489"/>
    </row>
    <row r="610" spans="5:24" ht="12.75"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489"/>
      <c r="P610" s="489"/>
      <c r="Q610" s="71"/>
      <c r="R610" s="489"/>
      <c r="S610" s="489"/>
      <c r="T610" s="71"/>
      <c r="U610" s="489"/>
      <c r="V610" s="489"/>
      <c r="W610" s="489"/>
      <c r="X610" s="489"/>
    </row>
    <row r="611" spans="5:24" ht="12.75"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489"/>
      <c r="P611" s="489"/>
      <c r="Q611" s="71"/>
      <c r="R611" s="489"/>
      <c r="S611" s="489"/>
      <c r="T611" s="71"/>
      <c r="U611" s="489"/>
      <c r="V611" s="489"/>
      <c r="W611" s="489"/>
      <c r="X611" s="489"/>
    </row>
    <row r="612" spans="5:24" ht="12.75"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489"/>
      <c r="P612" s="489"/>
      <c r="Q612" s="71"/>
      <c r="R612" s="489"/>
      <c r="S612" s="489"/>
      <c r="T612" s="71"/>
      <c r="U612" s="489"/>
      <c r="V612" s="489"/>
      <c r="W612" s="489"/>
      <c r="X612" s="489"/>
    </row>
    <row r="613" spans="5:24" ht="12.75"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489"/>
      <c r="P613" s="489"/>
      <c r="Q613" s="71"/>
      <c r="R613" s="489"/>
      <c r="S613" s="489"/>
      <c r="T613" s="71"/>
      <c r="U613" s="489"/>
      <c r="V613" s="489"/>
      <c r="W613" s="489"/>
      <c r="X613" s="489"/>
    </row>
    <row r="614" spans="5:24" ht="12.75"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489"/>
      <c r="P614" s="489"/>
      <c r="Q614" s="71"/>
      <c r="R614" s="489"/>
      <c r="S614" s="489"/>
      <c r="T614" s="71"/>
      <c r="U614" s="489"/>
      <c r="V614" s="489"/>
      <c r="W614" s="489"/>
      <c r="X614" s="489"/>
    </row>
    <row r="615" spans="5:24" ht="12.75"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489"/>
      <c r="P615" s="489"/>
      <c r="Q615" s="71"/>
      <c r="R615" s="489"/>
      <c r="S615" s="489"/>
      <c r="T615" s="71"/>
      <c r="U615" s="489"/>
      <c r="V615" s="489"/>
      <c r="W615" s="489"/>
      <c r="X615" s="489"/>
    </row>
    <row r="616" spans="5:24" ht="12.75"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489"/>
      <c r="P616" s="489"/>
      <c r="Q616" s="71"/>
      <c r="R616" s="489"/>
      <c r="S616" s="489"/>
      <c r="T616" s="71"/>
      <c r="U616" s="489"/>
      <c r="V616" s="489"/>
      <c r="W616" s="489"/>
      <c r="X616" s="489"/>
    </row>
    <row r="617" spans="5:24" ht="12.75"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489"/>
      <c r="P617" s="489"/>
      <c r="Q617" s="71"/>
      <c r="R617" s="489"/>
      <c r="S617" s="489"/>
      <c r="T617" s="71"/>
      <c r="U617" s="489"/>
      <c r="V617" s="489"/>
      <c r="W617" s="489"/>
      <c r="X617" s="489"/>
    </row>
    <row r="618" spans="5:24" ht="12.75"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489"/>
      <c r="P618" s="489"/>
      <c r="Q618" s="71"/>
      <c r="R618" s="489"/>
      <c r="S618" s="489"/>
      <c r="T618" s="71"/>
      <c r="U618" s="489"/>
      <c r="V618" s="489"/>
      <c r="W618" s="489"/>
      <c r="X618" s="489"/>
    </row>
    <row r="619" spans="5:24" ht="12.75"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489"/>
      <c r="P619" s="489"/>
      <c r="Q619" s="71"/>
      <c r="R619" s="489"/>
      <c r="S619" s="489"/>
      <c r="T619" s="71"/>
      <c r="U619" s="489"/>
      <c r="V619" s="489"/>
      <c r="W619" s="489"/>
      <c r="X619" s="489"/>
    </row>
    <row r="620" spans="5:24" ht="12.75"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489"/>
      <c r="P620" s="489"/>
      <c r="Q620" s="71"/>
      <c r="R620" s="489"/>
      <c r="S620" s="489"/>
      <c r="T620" s="71"/>
      <c r="U620" s="489"/>
      <c r="V620" s="489"/>
      <c r="W620" s="489"/>
      <c r="X620" s="489"/>
    </row>
    <row r="621" spans="5:24" ht="12.75"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489"/>
      <c r="P621" s="489"/>
      <c r="Q621" s="71"/>
      <c r="R621" s="489"/>
      <c r="S621" s="489"/>
      <c r="T621" s="71"/>
      <c r="U621" s="489"/>
      <c r="V621" s="489"/>
      <c r="W621" s="489"/>
      <c r="X621" s="489"/>
    </row>
    <row r="622" spans="5:24" ht="12.75"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489"/>
      <c r="P622" s="489"/>
      <c r="Q622" s="71"/>
      <c r="R622" s="489"/>
      <c r="S622" s="489"/>
      <c r="T622" s="71"/>
      <c r="U622" s="489"/>
      <c r="V622" s="489"/>
      <c r="W622" s="489"/>
      <c r="X622" s="489"/>
    </row>
    <row r="623" spans="5:24" ht="12.75"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489"/>
      <c r="P623" s="489"/>
      <c r="Q623" s="71"/>
      <c r="R623" s="489"/>
      <c r="S623" s="489"/>
      <c r="T623" s="71"/>
      <c r="U623" s="489"/>
      <c r="V623" s="489"/>
      <c r="W623" s="489"/>
      <c r="X623" s="489"/>
    </row>
    <row r="624" spans="5:24" ht="12.75"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489"/>
      <c r="P624" s="489"/>
      <c r="Q624" s="71"/>
      <c r="R624" s="489"/>
      <c r="S624" s="489"/>
      <c r="T624" s="71"/>
      <c r="U624" s="489"/>
      <c r="V624" s="489"/>
      <c r="W624" s="489"/>
      <c r="X624" s="489"/>
    </row>
    <row r="625" spans="5:24" ht="12.75"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489"/>
      <c r="P625" s="489"/>
      <c r="Q625" s="71"/>
      <c r="R625" s="489"/>
      <c r="S625" s="489"/>
      <c r="T625" s="71"/>
      <c r="U625" s="489"/>
      <c r="V625" s="489"/>
      <c r="W625" s="489"/>
      <c r="X625" s="489"/>
    </row>
    <row r="626" spans="5:24" ht="12.75"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489"/>
      <c r="P626" s="489"/>
      <c r="Q626" s="71"/>
      <c r="R626" s="489"/>
      <c r="S626" s="489"/>
      <c r="T626" s="71"/>
      <c r="U626" s="489"/>
      <c r="V626" s="489"/>
      <c r="W626" s="489"/>
      <c r="X626" s="489"/>
    </row>
    <row r="627" spans="5:24" ht="12.75"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489"/>
      <c r="P627" s="489"/>
      <c r="Q627" s="71"/>
      <c r="R627" s="489"/>
      <c r="S627" s="489"/>
      <c r="T627" s="71"/>
      <c r="U627" s="489"/>
      <c r="V627" s="489"/>
      <c r="W627" s="489"/>
      <c r="X627" s="489"/>
    </row>
    <row r="628" spans="5:24" ht="12.75"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489"/>
      <c r="P628" s="489"/>
      <c r="Q628" s="71"/>
      <c r="R628" s="489"/>
      <c r="S628" s="489"/>
      <c r="T628" s="71"/>
      <c r="U628" s="489"/>
      <c r="V628" s="489"/>
      <c r="W628" s="489"/>
      <c r="X628" s="489"/>
    </row>
    <row r="629" spans="5:24" ht="12.75"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489"/>
      <c r="P629" s="489"/>
      <c r="Q629" s="71"/>
      <c r="R629" s="489"/>
      <c r="S629" s="489"/>
      <c r="T629" s="71"/>
      <c r="U629" s="489"/>
      <c r="V629" s="489"/>
      <c r="W629" s="489"/>
      <c r="X629" s="489"/>
    </row>
    <row r="630" spans="5:24" ht="12.75"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489"/>
      <c r="P630" s="489"/>
      <c r="Q630" s="71"/>
      <c r="R630" s="489"/>
      <c r="S630" s="489"/>
      <c r="T630" s="71"/>
      <c r="U630" s="489"/>
      <c r="V630" s="489"/>
      <c r="W630" s="489"/>
      <c r="X630" s="489"/>
    </row>
    <row r="631" spans="5:24" ht="12.75"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489"/>
      <c r="P631" s="489"/>
      <c r="Q631" s="71"/>
      <c r="R631" s="489"/>
      <c r="S631" s="489"/>
      <c r="T631" s="71"/>
      <c r="U631" s="489"/>
      <c r="V631" s="489"/>
      <c r="W631" s="489"/>
      <c r="X631" s="489"/>
    </row>
    <row r="632" spans="5:24" ht="12.75"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489"/>
      <c r="P632" s="489"/>
      <c r="Q632" s="71"/>
      <c r="R632" s="489"/>
      <c r="S632" s="489"/>
      <c r="T632" s="71"/>
      <c r="U632" s="489"/>
      <c r="V632" s="489"/>
      <c r="W632" s="489"/>
      <c r="X632" s="489"/>
    </row>
    <row r="633" spans="5:24" ht="12.75"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489"/>
      <c r="P633" s="489"/>
      <c r="Q633" s="71"/>
      <c r="R633" s="489"/>
      <c r="S633" s="489"/>
      <c r="T633" s="71"/>
      <c r="U633" s="489"/>
      <c r="V633" s="489"/>
      <c r="W633" s="489"/>
      <c r="X633" s="489"/>
    </row>
    <row r="634" spans="5:24" ht="12.75"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489"/>
      <c r="P634" s="489"/>
      <c r="Q634" s="71"/>
      <c r="R634" s="489"/>
      <c r="S634" s="489"/>
      <c r="T634" s="71"/>
      <c r="U634" s="489"/>
      <c r="V634" s="489"/>
      <c r="W634" s="489"/>
      <c r="X634" s="489"/>
    </row>
    <row r="635" spans="5:24" ht="12.75"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489"/>
      <c r="P635" s="489"/>
      <c r="Q635" s="71"/>
      <c r="R635" s="489"/>
      <c r="S635" s="489"/>
      <c r="T635" s="71"/>
      <c r="U635" s="489"/>
      <c r="V635" s="489"/>
      <c r="W635" s="489"/>
      <c r="X635" s="489"/>
    </row>
    <row r="636" spans="5:24" ht="12.75"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489"/>
      <c r="P636" s="489"/>
      <c r="Q636" s="71"/>
      <c r="R636" s="489"/>
      <c r="S636" s="489"/>
      <c r="T636" s="71"/>
      <c r="U636" s="489"/>
      <c r="V636" s="489"/>
      <c r="W636" s="489"/>
      <c r="X636" s="489"/>
    </row>
    <row r="637" spans="5:24" ht="12.75"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489"/>
      <c r="P637" s="489"/>
      <c r="Q637" s="71"/>
      <c r="R637" s="489"/>
      <c r="S637" s="489"/>
      <c r="T637" s="71"/>
      <c r="U637" s="489"/>
      <c r="V637" s="489"/>
      <c r="W637" s="489"/>
      <c r="X637" s="489"/>
    </row>
    <row r="638" spans="5:24" ht="12.75"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489"/>
      <c r="P638" s="489"/>
      <c r="Q638" s="71"/>
      <c r="R638" s="489"/>
      <c r="S638" s="489"/>
      <c r="T638" s="71"/>
      <c r="U638" s="489"/>
      <c r="V638" s="489"/>
      <c r="W638" s="489"/>
      <c r="X638" s="489"/>
    </row>
    <row r="639" spans="5:24" ht="12.75"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489"/>
      <c r="P639" s="489"/>
      <c r="Q639" s="71"/>
      <c r="R639" s="489"/>
      <c r="S639" s="489"/>
      <c r="T639" s="71"/>
      <c r="U639" s="489"/>
      <c r="V639" s="489"/>
      <c r="W639" s="489"/>
      <c r="X639" s="489"/>
    </row>
    <row r="640" spans="5:24" ht="12.75"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489"/>
      <c r="P640" s="489"/>
      <c r="Q640" s="71"/>
      <c r="R640" s="489"/>
      <c r="S640" s="489"/>
      <c r="T640" s="71"/>
      <c r="U640" s="489"/>
      <c r="V640" s="489"/>
      <c r="W640" s="489"/>
      <c r="X640" s="489"/>
    </row>
    <row r="641" spans="5:24" ht="12.75"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489"/>
      <c r="P641" s="489"/>
      <c r="Q641" s="71"/>
      <c r="R641" s="489"/>
      <c r="S641" s="489"/>
      <c r="T641" s="71"/>
      <c r="U641" s="489"/>
      <c r="V641" s="489"/>
      <c r="W641" s="489"/>
      <c r="X641" s="489"/>
    </row>
    <row r="642" spans="5:24" ht="12.75"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489"/>
      <c r="P642" s="489"/>
      <c r="Q642" s="71"/>
      <c r="R642" s="489"/>
      <c r="S642" s="489"/>
      <c r="T642" s="71"/>
      <c r="U642" s="489"/>
      <c r="V642" s="489"/>
      <c r="W642" s="489"/>
      <c r="X642" s="489"/>
    </row>
    <row r="643" spans="5:24" ht="12.75"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489"/>
      <c r="P643" s="489"/>
      <c r="Q643" s="71"/>
      <c r="R643" s="489"/>
      <c r="S643" s="489"/>
      <c r="T643" s="71"/>
      <c r="U643" s="489"/>
      <c r="V643" s="489"/>
      <c r="W643" s="489"/>
      <c r="X643" s="489"/>
    </row>
    <row r="644" spans="5:24" ht="12.75"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489"/>
      <c r="P644" s="489"/>
      <c r="Q644" s="71"/>
      <c r="R644" s="489"/>
      <c r="S644" s="489"/>
      <c r="T644" s="71"/>
      <c r="U644" s="489"/>
      <c r="V644" s="489"/>
      <c r="W644" s="489"/>
      <c r="X644" s="489"/>
    </row>
    <row r="645" spans="5:24" ht="12.75"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489"/>
      <c r="P645" s="489"/>
      <c r="Q645" s="71"/>
      <c r="R645" s="489"/>
      <c r="S645" s="489"/>
      <c r="T645" s="71"/>
      <c r="U645" s="489"/>
      <c r="V645" s="489"/>
      <c r="W645" s="489"/>
      <c r="X645" s="489"/>
    </row>
    <row r="646" spans="5:24" ht="12.75"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489"/>
      <c r="P646" s="489"/>
      <c r="Q646" s="71"/>
      <c r="R646" s="489"/>
      <c r="S646" s="489"/>
      <c r="T646" s="71"/>
      <c r="U646" s="489"/>
      <c r="V646" s="489"/>
      <c r="W646" s="489"/>
      <c r="X646" s="489"/>
    </row>
    <row r="647" spans="5:24" ht="12.75"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489"/>
      <c r="P647" s="489"/>
      <c r="Q647" s="71"/>
      <c r="R647" s="489"/>
      <c r="S647" s="489"/>
      <c r="T647" s="71"/>
      <c r="U647" s="489"/>
      <c r="V647" s="489"/>
      <c r="W647" s="489"/>
      <c r="X647" s="489"/>
    </row>
    <row r="648" spans="5:24" ht="12.75"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489"/>
      <c r="P648" s="489"/>
      <c r="Q648" s="71"/>
      <c r="R648" s="489"/>
      <c r="S648" s="489"/>
      <c r="T648" s="71"/>
      <c r="U648" s="489"/>
      <c r="V648" s="489"/>
      <c r="W648" s="489"/>
      <c r="X648" s="489"/>
    </row>
    <row r="649" spans="5:24" ht="12.75"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489"/>
      <c r="P649" s="489"/>
      <c r="Q649" s="71"/>
      <c r="R649" s="489"/>
      <c r="S649" s="489"/>
      <c r="T649" s="71"/>
      <c r="U649" s="489"/>
      <c r="V649" s="489"/>
      <c r="W649" s="489"/>
      <c r="X649" s="489"/>
    </row>
    <row r="650" spans="5:24" ht="12.75"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489"/>
      <c r="P650" s="489"/>
      <c r="Q650" s="71"/>
      <c r="R650" s="489"/>
      <c r="S650" s="489"/>
      <c r="T650" s="71"/>
      <c r="U650" s="489"/>
      <c r="V650" s="489"/>
      <c r="W650" s="489"/>
      <c r="X650" s="489"/>
    </row>
    <row r="651" spans="5:24" ht="12.75"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489"/>
      <c r="P651" s="489"/>
      <c r="Q651" s="71"/>
      <c r="R651" s="489"/>
      <c r="S651" s="489"/>
      <c r="T651" s="71"/>
      <c r="U651" s="489"/>
      <c r="V651" s="489"/>
      <c r="W651" s="489"/>
      <c r="X651" s="489"/>
    </row>
    <row r="652" spans="5:24" ht="12.75"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489"/>
      <c r="P652" s="489"/>
      <c r="Q652" s="71"/>
      <c r="R652" s="489"/>
      <c r="S652" s="489"/>
      <c r="T652" s="71"/>
      <c r="U652" s="489"/>
      <c r="V652" s="489"/>
      <c r="W652" s="489"/>
      <c r="X652" s="489"/>
    </row>
    <row r="653" spans="5:24" ht="12.75"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489"/>
      <c r="P653" s="489"/>
      <c r="Q653" s="71"/>
      <c r="R653" s="489"/>
      <c r="S653" s="489"/>
      <c r="T653" s="71"/>
      <c r="U653" s="489"/>
      <c r="V653" s="489"/>
      <c r="W653" s="489"/>
      <c r="X653" s="489"/>
    </row>
    <row r="654" spans="5:24" ht="12.75"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489"/>
      <c r="P654" s="489"/>
      <c r="Q654" s="71"/>
      <c r="R654" s="489"/>
      <c r="S654" s="489"/>
      <c r="T654" s="71"/>
      <c r="U654" s="489"/>
      <c r="V654" s="489"/>
      <c r="W654" s="489"/>
      <c r="X654" s="489"/>
    </row>
    <row r="655" spans="5:24" ht="12.75"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489"/>
      <c r="P655" s="489"/>
      <c r="Q655" s="71"/>
      <c r="R655" s="489"/>
      <c r="S655" s="489"/>
      <c r="T655" s="71"/>
      <c r="U655" s="489"/>
      <c r="V655" s="489"/>
      <c r="W655" s="489"/>
      <c r="X655" s="489"/>
    </row>
    <row r="656" spans="5:24" ht="12.75"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489"/>
      <c r="P656" s="489"/>
      <c r="Q656" s="71"/>
      <c r="R656" s="489"/>
      <c r="S656" s="489"/>
      <c r="T656" s="71"/>
      <c r="U656" s="489"/>
      <c r="V656" s="489"/>
      <c r="W656" s="489"/>
      <c r="X656" s="489"/>
    </row>
    <row r="657" spans="5:24" ht="12.75"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489"/>
      <c r="P657" s="489"/>
      <c r="Q657" s="71"/>
      <c r="R657" s="489"/>
      <c r="S657" s="489"/>
      <c r="T657" s="71"/>
      <c r="U657" s="489"/>
      <c r="V657" s="489"/>
      <c r="W657" s="489"/>
      <c r="X657" s="489"/>
    </row>
    <row r="658" spans="5:24" ht="12.75"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489"/>
      <c r="P658" s="489"/>
      <c r="Q658" s="71"/>
      <c r="R658" s="489"/>
      <c r="S658" s="489"/>
      <c r="T658" s="71"/>
      <c r="U658" s="489"/>
      <c r="V658" s="489"/>
      <c r="W658" s="489"/>
      <c r="X658" s="489"/>
    </row>
    <row r="659" spans="5:24" ht="12.75"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489"/>
      <c r="P659" s="489"/>
      <c r="Q659" s="71"/>
      <c r="R659" s="489"/>
      <c r="S659" s="489"/>
      <c r="T659" s="71"/>
      <c r="U659" s="489"/>
      <c r="V659" s="489"/>
      <c r="W659" s="489"/>
      <c r="X659" s="489"/>
    </row>
    <row r="660" spans="5:24" ht="12.75"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489"/>
      <c r="P660" s="489"/>
      <c r="Q660" s="71"/>
      <c r="R660" s="489"/>
      <c r="S660" s="489"/>
      <c r="T660" s="71"/>
      <c r="U660" s="489"/>
      <c r="V660" s="489"/>
      <c r="W660" s="489"/>
      <c r="X660" s="489"/>
    </row>
    <row r="661" spans="5:24" ht="12.75"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489"/>
      <c r="P661" s="489"/>
      <c r="Q661" s="71"/>
      <c r="R661" s="489"/>
      <c r="S661" s="489"/>
      <c r="T661" s="71"/>
      <c r="U661" s="489"/>
      <c r="V661" s="489"/>
      <c r="W661" s="489"/>
      <c r="X661" s="489"/>
    </row>
    <row r="662" spans="5:24" ht="12.75"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489"/>
      <c r="P662" s="489"/>
      <c r="Q662" s="71"/>
      <c r="R662" s="489"/>
      <c r="S662" s="489"/>
      <c r="T662" s="71"/>
      <c r="U662" s="489"/>
      <c r="V662" s="489"/>
      <c r="W662" s="489"/>
      <c r="X662" s="489"/>
    </row>
    <row r="663" spans="5:24" ht="12.75"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489"/>
      <c r="P663" s="489"/>
      <c r="Q663" s="71"/>
      <c r="R663" s="489"/>
      <c r="S663" s="489"/>
      <c r="T663" s="71"/>
      <c r="U663" s="489"/>
      <c r="V663" s="489"/>
      <c r="W663" s="489"/>
      <c r="X663" s="48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1996-11-27T13:48:17Z</dcterms:created>
  <dcterms:modified xsi:type="dcterms:W3CDTF">2010-03-12T12:26:30Z</dcterms:modified>
  <cp:category/>
  <cp:version/>
  <cp:contentType/>
  <cp:contentStatus/>
</cp:coreProperties>
</file>