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24226"/>
  <xr:revisionPtr revIDLastSave="0" documentId="13_ncr:1_{BA635E9A-725C-4E0F-ACB5-FFC242086CB6}" xr6:coauthVersionLast="46" xr6:coauthVersionMax="46" xr10:uidLastSave="{00000000-0000-0000-0000-000000000000}"/>
  <bookViews>
    <workbookView xWindow="-120" yWindow="-120" windowWidth="29040" windowHeight="17640" tabRatio="741" xr2:uid="{00000000-000D-0000-FFFF-FFFF00000000}"/>
  </bookViews>
  <sheets>
    <sheet name="Titelblad" sheetId="9" r:id="rId1"/>
    <sheet name="Toelichting" sheetId="10" r:id="rId2"/>
    <sheet name="Bronnen en toepassingen" sheetId="11" r:id="rId3"/>
    <sheet name="TI-berekening 2022" sheetId="21" r:id="rId4"/>
    <sheet name="Input --&gt;" sheetId="13" r:id="rId5"/>
    <sheet name="Input parameters" sheetId="26" r:id="rId6"/>
    <sheet name="Input x-factor, begininkomsten" sheetId="28" r:id="rId7"/>
    <sheet name="Input lokale heffingen 2020" sheetId="25" r:id="rId8"/>
    <sheet name="Input invoeding groen gas 2021" sheetId="18" r:id="rId9"/>
    <sheet name="Input richtbedragen" sheetId="32" r:id="rId10"/>
    <sheet name="Berekeningen --&gt;" sheetId="15" r:id="rId11"/>
    <sheet name="Parameters" sheetId="27" r:id="rId12"/>
    <sheet name="Lokale heffingen 2020" sheetId="24" r:id="rId13"/>
    <sheet name="Invoeding groen gas 2021" sheetId="22" r:id="rId14"/>
    <sheet name="Lagere tarieven RENDO" sheetId="38" r:id="rId15"/>
    <sheet name="Richtbedragen" sheetId="31"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75" i="31" l="1"/>
  <c r="P74" i="31"/>
  <c r="N73" i="31"/>
  <c r="N75" i="31"/>
  <c r="N74" i="31"/>
  <c r="P73" i="31"/>
  <c r="H33" i="31" l="1"/>
  <c r="Q39" i="31" l="1"/>
  <c r="M39" i="31"/>
  <c r="N39" i="31"/>
  <c r="L39" i="31"/>
  <c r="O39" i="31"/>
  <c r="P39" i="31"/>
  <c r="Q89" i="22"/>
  <c r="Q74" i="22"/>
  <c r="L23" i="24"/>
  <c r="J13" i="28" l="1"/>
  <c r="M18" i="22" l="1"/>
  <c r="M19" i="22"/>
  <c r="M20" i="22"/>
  <c r="M21" i="22"/>
  <c r="M22" i="22"/>
  <c r="M23" i="22"/>
  <c r="M26" i="22"/>
  <c r="M27" i="22"/>
  <c r="M28" i="22"/>
  <c r="M29" i="22"/>
  <c r="M30" i="22"/>
  <c r="M35" i="22"/>
  <c r="M36" i="22"/>
  <c r="M38" i="22"/>
  <c r="M43" i="22"/>
  <c r="M44" i="22"/>
  <c r="M46" i="22"/>
  <c r="M89" i="22"/>
  <c r="M122" i="18" l="1"/>
  <c r="M123" i="18"/>
  <c r="M124" i="18"/>
  <c r="M125" i="18"/>
  <c r="M126" i="18"/>
  <c r="M127" i="18"/>
  <c r="M130" i="18"/>
  <c r="M131" i="18"/>
  <c r="M132" i="18"/>
  <c r="M133" i="18"/>
  <c r="M134" i="18"/>
  <c r="M139" i="18"/>
  <c r="M140" i="18"/>
  <c r="M142" i="18"/>
  <c r="M147" i="18"/>
  <c r="M148" i="18"/>
  <c r="M150" i="18"/>
  <c r="H26" i="31" l="1"/>
  <c r="H42" i="31" s="1"/>
  <c r="J22" i="28"/>
  <c r="N24" i="28"/>
  <c r="M12" i="21" s="1"/>
  <c r="O24" i="28"/>
  <c r="N12" i="21" s="1"/>
  <c r="P24" i="28"/>
  <c r="O12" i="21" s="1"/>
  <c r="Q24" i="28"/>
  <c r="P12" i="21" s="1"/>
  <c r="R24" i="28"/>
  <c r="Q12" i="21" s="1"/>
  <c r="L24" i="28"/>
  <c r="J24" i="28" s="1"/>
  <c r="M46" i="31" l="1"/>
  <c r="Q46" i="31"/>
  <c r="L46" i="31"/>
  <c r="P46" i="31"/>
  <c r="N46" i="31"/>
  <c r="O46" i="31"/>
  <c r="L12" i="21"/>
  <c r="H15" i="21"/>
  <c r="M13" i="21"/>
  <c r="N13" i="21"/>
  <c r="O13" i="21"/>
  <c r="P13" i="21"/>
  <c r="Q13" i="21"/>
  <c r="L13" i="21"/>
  <c r="L17" i="21" l="1"/>
  <c r="Q17" i="21"/>
  <c r="N17" i="21"/>
  <c r="M17" i="21"/>
  <c r="P17" i="21"/>
  <c r="O17" i="21"/>
  <c r="J21" i="28"/>
  <c r="H17" i="24" l="1"/>
  <c r="Q17" i="27"/>
  <c r="Q16" i="27"/>
  <c r="R24" i="27" s="1"/>
  <c r="R23" i="27"/>
  <c r="R15" i="27"/>
  <c r="R14" i="27"/>
  <c r="R31" i="27" l="1"/>
  <c r="H91" i="22" s="1"/>
  <c r="Q93" i="22" s="1"/>
  <c r="P19" i="38" l="1"/>
  <c r="Q23" i="27" l="1"/>
  <c r="H16" i="24"/>
  <c r="H15" i="24"/>
  <c r="P14" i="27"/>
  <c r="Q14" i="27"/>
  <c r="P15" i="27"/>
  <c r="Q15" i="27"/>
  <c r="P16" i="27"/>
  <c r="P17" i="27"/>
  <c r="Q24" i="27" l="1"/>
  <c r="Q30" i="27" s="1"/>
  <c r="R30" i="27" s="1"/>
  <c r="H27" i="38" l="1"/>
  <c r="H35" i="24"/>
  <c r="S41" i="24"/>
  <c r="H14" i="24" l="1"/>
  <c r="R21" i="24"/>
  <c r="Q21" i="24"/>
  <c r="P21" i="24"/>
  <c r="O21" i="24"/>
  <c r="N21" i="24"/>
  <c r="M21" i="24"/>
  <c r="L21" i="24"/>
  <c r="R20" i="24"/>
  <c r="Q20" i="24"/>
  <c r="P20" i="24"/>
  <c r="O20" i="24"/>
  <c r="N20" i="24"/>
  <c r="M20" i="24"/>
  <c r="L20" i="24"/>
  <c r="N23" i="24" l="1"/>
  <c r="R23" i="24"/>
  <c r="O23" i="24"/>
  <c r="P23" i="24"/>
  <c r="M23" i="24"/>
  <c r="Q23" i="24"/>
  <c r="J23" i="24" l="1"/>
  <c r="M44" i="31"/>
  <c r="N44" i="31"/>
  <c r="O44" i="31"/>
  <c r="P44" i="31"/>
  <c r="Q44" i="31"/>
  <c r="L44" i="31"/>
  <c r="M37" i="31"/>
  <c r="N37" i="31"/>
  <c r="O37" i="31"/>
  <c r="P37" i="31"/>
  <c r="Q37" i="31"/>
  <c r="L37" i="31"/>
  <c r="H28" i="31"/>
  <c r="H25" i="31"/>
  <c r="Q31" i="31"/>
  <c r="P31" i="31"/>
  <c r="O31" i="31"/>
  <c r="N31" i="31"/>
  <c r="M31" i="31"/>
  <c r="L31" i="31"/>
  <c r="Q30" i="31"/>
  <c r="P30" i="31"/>
  <c r="O30" i="31"/>
  <c r="N30" i="31"/>
  <c r="M30" i="31"/>
  <c r="L30" i="31"/>
  <c r="L38" i="31" s="1"/>
  <c r="L40" i="31" s="1"/>
  <c r="L51" i="31" s="1"/>
  <c r="M21" i="31"/>
  <c r="N21" i="31"/>
  <c r="O21" i="31"/>
  <c r="P21" i="31"/>
  <c r="Q21" i="31"/>
  <c r="M22" i="31"/>
  <c r="N22" i="31"/>
  <c r="O22" i="31"/>
  <c r="P22" i="31"/>
  <c r="Q22" i="31"/>
  <c r="M23" i="31"/>
  <c r="N23" i="31"/>
  <c r="O23" i="31"/>
  <c r="P23" i="31"/>
  <c r="Q23" i="31"/>
  <c r="L22" i="31"/>
  <c r="L23" i="31"/>
  <c r="L21" i="31"/>
  <c r="P38" i="31" l="1"/>
  <c r="M38" i="31"/>
  <c r="N38" i="31"/>
  <c r="Q38" i="31"/>
  <c r="O38" i="31"/>
  <c r="N45" i="31" l="1"/>
  <c r="M45" i="31"/>
  <c r="N40" i="31"/>
  <c r="Q40" i="31"/>
  <c r="O40" i="31"/>
  <c r="L45" i="31"/>
  <c r="L47" i="31" s="1"/>
  <c r="O45" i="31"/>
  <c r="Q45" i="31"/>
  <c r="P45" i="31"/>
  <c r="M40" i="31"/>
  <c r="P40" i="31"/>
  <c r="O52" i="31" l="1"/>
  <c r="P52" i="31"/>
  <c r="Q52" i="31"/>
  <c r="M52" i="31"/>
  <c r="N52" i="31"/>
  <c r="L52" i="31"/>
  <c r="O47" i="31"/>
  <c r="P51" i="31"/>
  <c r="P53" i="31"/>
  <c r="P47" i="31"/>
  <c r="Q51" i="31"/>
  <c r="Q53" i="31"/>
  <c r="N47" i="31"/>
  <c r="M51" i="31"/>
  <c r="M53" i="31"/>
  <c r="Q47" i="31"/>
  <c r="O51" i="31"/>
  <c r="O53" i="31"/>
  <c r="N51" i="31"/>
  <c r="N53" i="31"/>
  <c r="M47" i="31"/>
  <c r="L53" i="31"/>
  <c r="O56" i="31" l="1"/>
  <c r="O60" i="31" s="1"/>
  <c r="P56" i="31"/>
  <c r="P60" i="31" s="1"/>
  <c r="M56" i="31"/>
  <c r="M60" i="31" s="1"/>
  <c r="L55" i="31"/>
  <c r="L59" i="31" s="1"/>
  <c r="L57" i="31"/>
  <c r="L61" i="31" s="1"/>
  <c r="Q55" i="31"/>
  <c r="Q59" i="31" s="1"/>
  <c r="Q57" i="31"/>
  <c r="Q61" i="31" s="1"/>
  <c r="M55" i="31"/>
  <c r="M59" i="31" s="1"/>
  <c r="M57" i="31"/>
  <c r="M61" i="31" s="1"/>
  <c r="N55" i="31"/>
  <c r="N59" i="31" s="1"/>
  <c r="N57" i="31"/>
  <c r="N61" i="31" s="1"/>
  <c r="L56" i="31"/>
  <c r="L60" i="31" s="1"/>
  <c r="Q56" i="31"/>
  <c r="Q60" i="31" s="1"/>
  <c r="N56" i="31"/>
  <c r="N60" i="31" s="1"/>
  <c r="P55" i="31"/>
  <c r="P59" i="31" s="1"/>
  <c r="P57" i="31"/>
  <c r="P61" i="31" s="1"/>
  <c r="O55" i="31"/>
  <c r="O59" i="31" s="1"/>
  <c r="O57" i="31"/>
  <c r="O61" i="31" s="1"/>
  <c r="B43" i="10" l="1"/>
  <c r="P23" i="27" l="1"/>
  <c r="O16" i="27"/>
  <c r="O17" i="27"/>
  <c r="P24" i="27" l="1"/>
  <c r="P29" i="27" s="1"/>
  <c r="Q29" i="27" s="1"/>
  <c r="R29" i="27" s="1"/>
  <c r="O14" i="27" l="1"/>
  <c r="O15" i="27"/>
  <c r="N72" i="18" l="1"/>
  <c r="N115" i="18"/>
  <c r="N107" i="18"/>
  <c r="N80" i="18"/>
  <c r="N45" i="18"/>
  <c r="N37" i="18"/>
  <c r="N27" i="24" l="1"/>
  <c r="O27" i="24"/>
  <c r="P27" i="24"/>
  <c r="Q27" i="24"/>
  <c r="R27" i="24"/>
  <c r="N26" i="24"/>
  <c r="N29" i="24" s="1"/>
  <c r="O26" i="24"/>
  <c r="O29" i="24" s="1"/>
  <c r="P26" i="24"/>
  <c r="P29" i="24" s="1"/>
  <c r="Q26" i="24"/>
  <c r="R26" i="24"/>
  <c r="R29" i="24" s="1"/>
  <c r="Q29" i="24" l="1"/>
  <c r="Q33" i="24"/>
  <c r="O33" i="24"/>
  <c r="R33" i="24"/>
  <c r="N33" i="24"/>
  <c r="P33" i="24"/>
  <c r="P22" i="38" s="1"/>
  <c r="P25" i="38" s="1"/>
  <c r="P29" i="38" s="1"/>
  <c r="O22" i="21" l="1"/>
  <c r="N65" i="31" l="1"/>
  <c r="M65" i="31"/>
  <c r="L65" i="31"/>
  <c r="J22" i="21"/>
  <c r="O68" i="31"/>
  <c r="O65" i="31"/>
  <c r="J12" i="21"/>
  <c r="N17" i="27"/>
  <c r="M17" i="27"/>
  <c r="L17" i="27"/>
  <c r="N16" i="27"/>
  <c r="M16" i="27"/>
  <c r="L16" i="27"/>
  <c r="N15" i="27"/>
  <c r="M15" i="27"/>
  <c r="L15" i="27"/>
  <c r="N14" i="27"/>
  <c r="M14" i="27"/>
  <c r="L14" i="27"/>
  <c r="M23" i="27"/>
  <c r="N23" i="27"/>
  <c r="O23" i="27"/>
  <c r="O24" i="27" l="1"/>
  <c r="Q65" i="31"/>
  <c r="P65" i="31"/>
  <c r="J17" i="21"/>
  <c r="O28" i="27"/>
  <c r="P28" i="27" s="1"/>
  <c r="Q28" i="27" s="1"/>
  <c r="N24" i="27"/>
  <c r="N27" i="27" s="1"/>
  <c r="M24" i="27"/>
  <c r="M26" i="24"/>
  <c r="M27" i="24"/>
  <c r="L27" i="24"/>
  <c r="L26" i="24"/>
  <c r="L29" i="24" s="1"/>
  <c r="L33" i="24" s="1"/>
  <c r="L37" i="24" s="1"/>
  <c r="M29" i="24" l="1"/>
  <c r="R28" i="27"/>
  <c r="M33" i="24"/>
  <c r="O27" i="27"/>
  <c r="Q37" i="24" l="1"/>
  <c r="P21" i="21" s="1"/>
  <c r="J29" i="24"/>
  <c r="P27" i="27"/>
  <c r="Q27" i="27" s="1"/>
  <c r="L21" i="21"/>
  <c r="R37" i="24"/>
  <c r="Q21" i="21" s="1"/>
  <c r="P37" i="24"/>
  <c r="O21" i="21" s="1"/>
  <c r="R89" i="22"/>
  <c r="R93" i="22" s="1"/>
  <c r="Q23" i="21" s="1"/>
  <c r="Q69" i="31" s="1"/>
  <c r="R27" i="27" l="1"/>
  <c r="Q67" i="31"/>
  <c r="Q71" i="31" s="1"/>
  <c r="O67" i="31"/>
  <c r="L67" i="31"/>
  <c r="O37" i="24"/>
  <c r="N21" i="21" s="1"/>
  <c r="N37" i="24"/>
  <c r="M21" i="21" s="1"/>
  <c r="O69" i="22"/>
  <c r="Q68" i="22"/>
  <c r="Q64" i="22"/>
  <c r="O64" i="22"/>
  <c r="N64" i="22"/>
  <c r="P62" i="22"/>
  <c r="Q61" i="22"/>
  <c r="P61" i="22"/>
  <c r="O61" i="22"/>
  <c r="N61" i="22"/>
  <c r="L61" i="22"/>
  <c r="O58" i="22"/>
  <c r="O57" i="22"/>
  <c r="Q54" i="22"/>
  <c r="Q53" i="22"/>
  <c r="N150" i="18"/>
  <c r="N46" i="22" s="1"/>
  <c r="O150" i="18"/>
  <c r="O46" i="22" s="1"/>
  <c r="P150" i="18"/>
  <c r="P46" i="22" s="1"/>
  <c r="Q150" i="18"/>
  <c r="Q46" i="22" s="1"/>
  <c r="R150" i="18"/>
  <c r="R46" i="22" s="1"/>
  <c r="L150" i="18"/>
  <c r="L46" i="22" s="1"/>
  <c r="L148" i="18"/>
  <c r="N148" i="18"/>
  <c r="N44" i="22" s="1"/>
  <c r="O148" i="18"/>
  <c r="O44" i="22" s="1"/>
  <c r="P148" i="18"/>
  <c r="P44" i="22" s="1"/>
  <c r="Q148" i="18"/>
  <c r="Q44" i="22" s="1"/>
  <c r="R148" i="18"/>
  <c r="R44" i="22" s="1"/>
  <c r="N147" i="18"/>
  <c r="N43" i="22" s="1"/>
  <c r="O147" i="18"/>
  <c r="O43" i="22" s="1"/>
  <c r="P147" i="18"/>
  <c r="P43" i="22" s="1"/>
  <c r="Q147" i="18"/>
  <c r="Q43" i="22" s="1"/>
  <c r="R147" i="18"/>
  <c r="R43" i="22" s="1"/>
  <c r="L147" i="18"/>
  <c r="L43" i="22" s="1"/>
  <c r="N142" i="18"/>
  <c r="N38" i="22" s="1"/>
  <c r="O142" i="18"/>
  <c r="O38" i="22" s="1"/>
  <c r="P142" i="18"/>
  <c r="P38" i="22" s="1"/>
  <c r="Q142" i="18"/>
  <c r="Q38" i="22" s="1"/>
  <c r="R142" i="18"/>
  <c r="R38" i="22" s="1"/>
  <c r="L142" i="18"/>
  <c r="L38" i="22" s="1"/>
  <c r="N139" i="18"/>
  <c r="N35" i="22" s="1"/>
  <c r="O139" i="18"/>
  <c r="O35" i="22" s="1"/>
  <c r="P139" i="18"/>
  <c r="P35" i="22" s="1"/>
  <c r="Q139" i="18"/>
  <c r="Q35" i="22" s="1"/>
  <c r="R139" i="18"/>
  <c r="R35" i="22" s="1"/>
  <c r="N140" i="18"/>
  <c r="N36" i="22" s="1"/>
  <c r="O140" i="18"/>
  <c r="O36" i="22" s="1"/>
  <c r="P140" i="18"/>
  <c r="P36" i="22" s="1"/>
  <c r="Q140" i="18"/>
  <c r="Q36" i="22" s="1"/>
  <c r="R140" i="18"/>
  <c r="R36" i="22" s="1"/>
  <c r="L140" i="18"/>
  <c r="L36" i="22" s="1"/>
  <c r="L139" i="18"/>
  <c r="R134" i="18"/>
  <c r="R30" i="22" s="1"/>
  <c r="Q134" i="18"/>
  <c r="Q30" i="22" s="1"/>
  <c r="P134" i="18"/>
  <c r="P30" i="22" s="1"/>
  <c r="O134" i="18"/>
  <c r="O30" i="22" s="1"/>
  <c r="N134" i="18"/>
  <c r="N30" i="22" s="1"/>
  <c r="L134" i="18"/>
  <c r="L30" i="22" s="1"/>
  <c r="R133" i="18"/>
  <c r="R29" i="22" s="1"/>
  <c r="Q133" i="18"/>
  <c r="Q29" i="22" s="1"/>
  <c r="P133" i="18"/>
  <c r="P29" i="22" s="1"/>
  <c r="O133" i="18"/>
  <c r="O29" i="22" s="1"/>
  <c r="N133" i="18"/>
  <c r="N29" i="22" s="1"/>
  <c r="L133" i="18"/>
  <c r="R132" i="18"/>
  <c r="R28" i="22" s="1"/>
  <c r="Q132" i="18"/>
  <c r="Q28" i="22" s="1"/>
  <c r="P132" i="18"/>
  <c r="P28" i="22" s="1"/>
  <c r="O132" i="18"/>
  <c r="O28" i="22" s="1"/>
  <c r="N132" i="18"/>
  <c r="N28" i="22" s="1"/>
  <c r="L132" i="18"/>
  <c r="L28" i="22" s="1"/>
  <c r="R131" i="18"/>
  <c r="R27" i="22" s="1"/>
  <c r="Q131" i="18"/>
  <c r="Q27" i="22" s="1"/>
  <c r="P131" i="18"/>
  <c r="P27" i="22" s="1"/>
  <c r="O131" i="18"/>
  <c r="O27" i="22" s="1"/>
  <c r="N131" i="18"/>
  <c r="N27" i="22" s="1"/>
  <c r="L131" i="18"/>
  <c r="L27" i="22" s="1"/>
  <c r="R130" i="18"/>
  <c r="R26" i="22" s="1"/>
  <c r="Q130" i="18"/>
  <c r="Q26" i="22" s="1"/>
  <c r="P130" i="18"/>
  <c r="P26" i="22" s="1"/>
  <c r="O130" i="18"/>
  <c r="O26" i="22" s="1"/>
  <c r="N130" i="18"/>
  <c r="N26" i="22" s="1"/>
  <c r="L130" i="18"/>
  <c r="R127" i="18"/>
  <c r="R23" i="22" s="1"/>
  <c r="Q127" i="18"/>
  <c r="Q23" i="22" s="1"/>
  <c r="P127" i="18"/>
  <c r="P23" i="22" s="1"/>
  <c r="O127" i="18"/>
  <c r="O23" i="22" s="1"/>
  <c r="N127" i="18"/>
  <c r="N23" i="22" s="1"/>
  <c r="L127" i="18"/>
  <c r="R126" i="18"/>
  <c r="R22" i="22" s="1"/>
  <c r="Q126" i="18"/>
  <c r="Q22" i="22" s="1"/>
  <c r="P126" i="18"/>
  <c r="P22" i="22" s="1"/>
  <c r="O126" i="18"/>
  <c r="O22" i="22" s="1"/>
  <c r="N126" i="18"/>
  <c r="N22" i="22" s="1"/>
  <c r="L126" i="18"/>
  <c r="L22" i="22" s="1"/>
  <c r="R125" i="18"/>
  <c r="R21" i="22" s="1"/>
  <c r="Q125" i="18"/>
  <c r="Q21" i="22" s="1"/>
  <c r="P125" i="18"/>
  <c r="P21" i="22" s="1"/>
  <c r="O125" i="18"/>
  <c r="O21" i="22" s="1"/>
  <c r="N125" i="18"/>
  <c r="N21" i="22" s="1"/>
  <c r="L125" i="18"/>
  <c r="L21" i="22" s="1"/>
  <c r="R124" i="18"/>
  <c r="R20" i="22" s="1"/>
  <c r="Q124" i="18"/>
  <c r="Q20" i="22" s="1"/>
  <c r="P124" i="18"/>
  <c r="P20" i="22" s="1"/>
  <c r="O124" i="18"/>
  <c r="O20" i="22" s="1"/>
  <c r="N124" i="18"/>
  <c r="N20" i="22" s="1"/>
  <c r="L124" i="18"/>
  <c r="R123" i="18"/>
  <c r="R19" i="22" s="1"/>
  <c r="Q123" i="18"/>
  <c r="Q19" i="22" s="1"/>
  <c r="P123" i="18"/>
  <c r="P19" i="22" s="1"/>
  <c r="O123" i="18"/>
  <c r="O19" i="22" s="1"/>
  <c r="N123" i="18"/>
  <c r="N19" i="22" s="1"/>
  <c r="L123" i="18"/>
  <c r="L19" i="22" s="1"/>
  <c r="R122" i="18"/>
  <c r="R18" i="22" s="1"/>
  <c r="Q122" i="18"/>
  <c r="Q18" i="22" s="1"/>
  <c r="P122" i="18"/>
  <c r="P18" i="22" s="1"/>
  <c r="O122" i="18"/>
  <c r="O18" i="22" s="1"/>
  <c r="N122" i="18"/>
  <c r="N18" i="22" s="1"/>
  <c r="L122" i="18"/>
  <c r="Q73" i="31" l="1"/>
  <c r="Q74" i="31"/>
  <c r="Q75" i="31"/>
  <c r="Q25" i="21"/>
  <c r="Q29" i="21" s="1"/>
  <c r="M67" i="31"/>
  <c r="N67" i="31"/>
  <c r="P67" i="31"/>
  <c r="P82" i="22"/>
  <c r="P83" i="22"/>
  <c r="J21" i="21"/>
  <c r="N82" i="22"/>
  <c r="N85" i="22"/>
  <c r="O78" i="22"/>
  <c r="O79" i="22"/>
  <c r="Q82" i="22"/>
  <c r="O85" i="22"/>
  <c r="O82" i="22"/>
  <c r="Q75" i="22"/>
  <c r="Q85" i="22"/>
  <c r="L35" i="22"/>
  <c r="L23" i="22"/>
  <c r="L29" i="22"/>
  <c r="L44" i="22"/>
  <c r="L18" i="22"/>
  <c r="L20" i="22"/>
  <c r="L26" i="22"/>
  <c r="L82" i="22" l="1"/>
  <c r="L89" i="22" s="1"/>
  <c r="L93" i="22" s="1"/>
  <c r="L23" i="21" s="1"/>
  <c r="P89" i="22"/>
  <c r="P93" i="22" s="1"/>
  <c r="O23" i="21" s="1"/>
  <c r="O25" i="21" s="1"/>
  <c r="O29" i="21" s="1"/>
  <c r="N89" i="22"/>
  <c r="N93" i="22" s="1"/>
  <c r="P23" i="21"/>
  <c r="P25" i="21" s="1"/>
  <c r="P29" i="21" s="1"/>
  <c r="O89" i="22"/>
  <c r="O93" i="22" s="1"/>
  <c r="N23" i="21" s="1"/>
  <c r="B31" i="10"/>
  <c r="O69" i="31" l="1"/>
  <c r="O71" i="31" s="1"/>
  <c r="O75" i="31" s="1"/>
  <c r="L69" i="31"/>
  <c r="L71" i="31" s="1"/>
  <c r="L25" i="21"/>
  <c r="L29" i="21" s="1"/>
  <c r="N69" i="31"/>
  <c r="N71" i="31" s="1"/>
  <c r="N25" i="21"/>
  <c r="N29" i="21" s="1"/>
  <c r="P69" i="31"/>
  <c r="P71" i="31" s="1"/>
  <c r="M23" i="21"/>
  <c r="B38" i="10"/>
  <c r="B32" i="10"/>
  <c r="L75" i="31" l="1"/>
  <c r="L74" i="31"/>
  <c r="L73" i="31"/>
  <c r="O73" i="31"/>
  <c r="O74" i="31"/>
  <c r="M69" i="31"/>
  <c r="M71" i="31" s="1"/>
  <c r="M25" i="21"/>
  <c r="M29" i="21" s="1"/>
  <c r="J23" i="21"/>
  <c r="B33" i="10"/>
  <c r="B37" i="10" s="1"/>
  <c r="M73" i="31" l="1"/>
  <c r="M74" i="31"/>
  <c r="M75" i="31"/>
  <c r="J25" i="21"/>
  <c r="J29"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37" authorId="0" shapeId="0" xr:uid="{00000000-0006-0000-0100-000001000000}">
      <text>
        <r>
          <rPr>
            <sz val="8"/>
            <color indexed="81"/>
            <rFont val="Tahoma"/>
            <family val="2"/>
          </rPr>
          <t xml:space="preserve">In alle gevallen wordt een (groep van) roze cel(len) voorzien van een opmerking die uitlegt wat er bijzonder is aan de betreffende gegevens of berekening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R19" authorId="0" shapeId="0" xr:uid="{45AE0904-0844-45C5-B956-95D0A00A4F86}">
      <text>
        <r>
          <rPr>
            <sz val="8"/>
            <color indexed="81"/>
            <rFont val="Tahoma"/>
            <family val="2"/>
          </rPr>
          <t>Voorlopig cijfer CBS</t>
        </r>
      </text>
    </comment>
    <comment ref="R33" authorId="0" shapeId="0" xr:uid="{D0D37FC8-CBD1-495F-AA2C-989D02F628FA}">
      <text>
        <r>
          <rPr>
            <sz val="8"/>
            <color indexed="81"/>
            <rFont val="Tahoma"/>
            <family val="2"/>
          </rPr>
          <t>Het eerste en tweede kwartaal 2022 zijn geschat op basis van de laatst bekende waarde van de vastgestelde wettelijke rente.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N38" authorId="0" shapeId="0" xr:uid="{00000000-0006-0000-0700-000001000000}">
      <text>
        <r>
          <rPr>
            <sz val="8"/>
            <color indexed="81"/>
            <rFont val="Tahoma"/>
            <family val="2"/>
          </rPr>
          <t>Intergas bestaat in de GAW-berekening nog als afzonderlijke netbeheerder/netdeel. In de x-factorberekening worden de kapitaalkosten van Intergas opgeteld bij Enexis.</t>
        </r>
      </text>
    </comment>
    <comment ref="N39" authorId="0" shapeId="0" xr:uid="{00000000-0006-0000-0700-000002000000}">
      <text>
        <r>
          <rPr>
            <sz val="8"/>
            <color indexed="81"/>
            <rFont val="Tahoma"/>
            <family val="2"/>
          </rPr>
          <t>Intergas bestaat in de GAW-berekening nog als afzonderlijke netbeheerder/netdeel. In de x-factorberekening worden de kapitaalkosten van Intergas opgeteld bij Enexis.</t>
        </r>
      </text>
    </comment>
    <comment ref="N40" authorId="0" shapeId="0" xr:uid="{00000000-0006-0000-0700-000003000000}">
      <text>
        <r>
          <rPr>
            <sz val="8"/>
            <color indexed="81"/>
            <rFont val="Tahoma"/>
            <family val="2"/>
          </rPr>
          <t>Intergas bestaat in de GAW-berekening nog als afzonderlijke netbeheerder/netdeel. In de x-factorberekening worden de kapitaalkosten van Intergas opgeteld bij Enexis.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R24" authorId="0" shapeId="0" xr:uid="{F4D3E9D2-698B-45FF-A834-AFF964D9FBC6}">
      <text>
        <r>
          <rPr>
            <sz val="8"/>
            <color indexed="81"/>
            <rFont val="Tahoma"/>
            <family val="2"/>
          </rPr>
          <t>Waarde voor 2022 wordt vastgesteld door de waarde voor het tweede halfjaar 2021 te gebruiken als schatting voor het eerste halfjaar van 2022.</t>
        </r>
      </text>
    </comment>
  </commentList>
</comments>
</file>

<file path=xl/sharedStrings.xml><?xml version="1.0" encoding="utf-8"?>
<sst xmlns="http://schemas.openxmlformats.org/spreadsheetml/2006/main" count="890" uniqueCount="363">
  <si>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</si>
  <si>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</si>
  <si>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</si>
  <si>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</si>
  <si>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</si>
  <si>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</si>
  <si>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</si>
  <si>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</si>
  <si>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</si>
  <si>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</si>
  <si>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Definitief? (j/n)</t>
  </si>
  <si>
    <t>Publicatie? (j/n)</t>
  </si>
  <si>
    <t>Juridisch integraal onderdeel van bovenstaande besluit(en) (j/n)?</t>
  </si>
  <si>
    <t>Opmerkingen openbare versiegeschiedenis</t>
  </si>
  <si>
    <t>Disclaimer</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</si>
  <si>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</si>
  <si>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</si>
  <si>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</si>
  <si>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</si>
  <si>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</si>
  <si>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</si>
  <si>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</si>
  <si>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Waarde of berekening die speciale aandacht vraagt (zet toelichting in opmerking)</t>
  </si>
  <si>
    <t>Ingevoerde waarde of berekening die nog niet juist is (indien van toepassing)</t>
  </si>
  <si>
    <t>Eventueel te gebruiken:</t>
  </si>
  <si>
    <t>Bronnenoverzicht en specifieke toepassingen</t>
  </si>
  <si>
    <t>Bronnenoverzicht</t>
  </si>
  <si>
    <t>Exacte bestandsnaam</t>
  </si>
  <si>
    <t>Eenheid</t>
  </si>
  <si>
    <t>Constante</t>
  </si>
  <si>
    <t>Beschrijving gegevens</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</si>
  <si>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</si>
  <si>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</si>
  <si>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</si>
  <si>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</si>
  <si>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</si>
  <si>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</si>
  <si>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</si>
  <si>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</si>
  <si>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</si>
  <si>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</si>
  <si>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</si>
  <si>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</si>
  <si>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</si>
  <si>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</si>
  <si>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Gestandaardiseerde tabbladen, omvat tenminste: 'Titelblad', 'Toelichting' en 'Bronnen en functies' (kleur: ACM-lichtpaars)</t>
  </si>
  <si>
    <t>Omschrijving</t>
  </si>
  <si>
    <t>Bronverwijzing</t>
  </si>
  <si>
    <t>Opmerking</t>
  </si>
  <si>
    <t>Ophalen gegevens voor berekening</t>
  </si>
  <si>
    <t>Rijtotaal</t>
  </si>
  <si>
    <t>In rekenmodellen probeert ACM zoveel mogelijk eenvoudige navolgbare berekeningen te maken en geen ingewikkelde functies of toepassingen te gebruiken.</t>
  </si>
  <si>
    <t>Wanneer toch gebruik wordt gemaakt van cel- en rangenamen, macro's of andere bijzondere functies in Excel wordt de werking ervan hier toegelicht</t>
  </si>
  <si>
    <t>Duiding van specifieke Excel-toepassingen en overige bijzonderheden</t>
  </si>
  <si>
    <t>Toelichting bij dit bestand</t>
  </si>
  <si>
    <t>Berekende waarde die wordt opgehaald op een ander tabblad, incl. eindresultaat van berekening</t>
  </si>
  <si>
    <t>Nr.</t>
  </si>
  <si>
    <t xml:space="preserve">Verkorte naam </t>
  </si>
  <si>
    <t>Naam bestand extern</t>
  </si>
  <si>
    <t>Beschrijving berekening</t>
  </si>
  <si>
    <t>Beschrijving resultaat</t>
  </si>
  <si>
    <t>Schematische weergave en/of inhoudsopgave van de werking van dit model</t>
  </si>
  <si>
    <t>Aanvullende gegevens bestand extern</t>
  </si>
  <si>
    <t>Datum ontvangst, versie nr., opmerkingen</t>
  </si>
  <si>
    <t>Zoals gebruikt in dit bestand</t>
  </si>
  <si>
    <t>ENDURIS</t>
  </si>
  <si>
    <t>ENEXIS</t>
  </si>
  <si>
    <t>LIANDER</t>
  </si>
  <si>
    <t>RENDO</t>
  </si>
  <si>
    <t>STEDIN</t>
  </si>
  <si>
    <t>WESTLAND</t>
  </si>
  <si>
    <t>In het geschilbesluit 'Invoeding groen gas' van 24 mei 2016 heeft de ACM geoordeeld dat netbeheerders geen transporttarieven in rekening mogen brengen voor de invoeding van groen gas.</t>
  </si>
  <si>
    <t>Bij de vaststelling van de volumes van de netbeheerders over de jaren 2013 tot en met 2015, in het x-factorbesluit 2017-2021, heeft de ACM echter geen rekening gehouden met het feit dat hier ook volumes voor invoeding groen gas onderdeel van uitmaken.</t>
  </si>
  <si>
    <t>VOLUMES PROFIELVERBRUIK: AANTALLEN AANSLUITINGEN</t>
  </si>
  <si>
    <t>Kleinverbruikers</t>
  </si>
  <si>
    <t>=&lt; 10 m3(n)h, jaarverbruik &lt; 500 Nm3</t>
  </si>
  <si>
    <t>#</t>
  </si>
  <si>
    <t>=&lt; 10 m3(n)h, jaarverbruik vanaf 500 Nm3 en &lt; 4.000 Nm3</t>
  </si>
  <si>
    <t>=&lt; 10 m3(n)h, jaarverbruik vanaf 4.000 Nm3</t>
  </si>
  <si>
    <t>&gt; 10 en =&lt; 16 m3(n)h</t>
  </si>
  <si>
    <t>&gt; 16 en =&lt; 25 m3(n)h</t>
  </si>
  <si>
    <t>&gt; 25 en =&lt; 40 m3(n)h</t>
  </si>
  <si>
    <t>Profielgrootverbruikers</t>
  </si>
  <si>
    <t>&gt; 40 en =&lt; 65 m3(n)h</t>
  </si>
  <si>
    <t>&gt; 65 en =&lt; 100 m3(n)h</t>
  </si>
  <si>
    <t>&gt; 100 en =&lt; 160 m3(n)h</t>
  </si>
  <si>
    <t>&gt; 160 en =&lt; 250 m3(n)h</t>
  </si>
  <si>
    <t>&gt; 250 m3(n)h</t>
  </si>
  <si>
    <t>VOLUMES TELEMETRIE: AANTALLEN AANSLUITINGEN</t>
  </si>
  <si>
    <t>Telemetrie &lt; 16 bar</t>
  </si>
  <si>
    <t>Hoge druk (&gt;= 200 Mbar en &lt; 16 Bar)</t>
  </si>
  <si>
    <t>Lage druk (&lt; 200 Mbar)</t>
  </si>
  <si>
    <t>Indien geen onderscheid LD/HD: Standaard</t>
  </si>
  <si>
    <t>VOLUMES TELEMETRIE: GECONTRACTEERDE CAPACITEIT</t>
  </si>
  <si>
    <t>Totaal volume indien geen onderscheid LD/HD: Standaard</t>
  </si>
  <si>
    <t>Berekening Gemiddelde volumes invoeding gas 2013-2015</t>
  </si>
  <si>
    <t>TARIEVEN</t>
  </si>
  <si>
    <t>Kleinverbruik (t/m 40 m3/h)</t>
  </si>
  <si>
    <t>Vastrecht (TOVT)</t>
  </si>
  <si>
    <t>Capaciteitsafhankelijk tarief (TAVTc)</t>
  </si>
  <si>
    <t>Profielgrootverbruik ( &gt;40 m3/h)</t>
  </si>
  <si>
    <t>Telemetriegrootverbruik (&lt; 16 bar)</t>
  </si>
  <si>
    <t>Geen onderscheid LD/HD: Standaard</t>
  </si>
  <si>
    <t>REKENCAPACITEITEN</t>
  </si>
  <si>
    <t>Volumes invoeding gas 2013</t>
  </si>
  <si>
    <t>Volumes invoeding gas 2014</t>
  </si>
  <si>
    <t>Volumes invoeding gas 2015</t>
  </si>
  <si>
    <t>Ophalen gegevens voor berekening: Gemiddelde volumes invoeding gas 2013-2015</t>
  </si>
  <si>
    <t xml:space="preserve">Gemiddelde volumes invoeding gas 2013-2015 </t>
  </si>
  <si>
    <t>Voor de kapitaalkosten van lokale heffingen is ook een uitbreiding van de GAW-sheet noodzakelijk. Om tot de juiste kapitaalkosten te komen worden de volgende stappen doorlopen:</t>
  </si>
  <si>
    <t>3. Op het blad 'Dashboard Boekjaar' kunnen nu de afschrijvingen en boekwaarde van afgekochte precario voor Intergas (tegenwoordig onderdeel van Enexis) en RENDO worden afgelezen. Voor alle andere netbeheerders zijn de bedragen nul.</t>
  </si>
  <si>
    <t>In onderstaand overzicht zijn de gegevens opgenomen die voor deze bewerking gebruikt zijn. In de gehele x-factorberekening wordt nu doorgerekend met deze nieuwe gegevens, waarbij de PV overigens niet beïnvloed wordt.</t>
  </si>
  <si>
    <t>KOSTENDATA</t>
  </si>
  <si>
    <t>Transportdienst &lt; 16 Bar</t>
  </si>
  <si>
    <t xml:space="preserve">Precario </t>
  </si>
  <si>
    <t>Gedoogbelastingen</t>
  </si>
  <si>
    <t>RESULTAAT</t>
  </si>
  <si>
    <t>Uitkomsten TI-berekening na aanpassing van gegevens (zie toelichting hierboven)</t>
  </si>
  <si>
    <t>Nacalculatiebedrag</t>
  </si>
  <si>
    <t>2016</t>
  </si>
  <si>
    <t>2017</t>
  </si>
  <si>
    <t>2018</t>
  </si>
  <si>
    <t>2019</t>
  </si>
  <si>
    <t>2020</t>
  </si>
  <si>
    <t>2021</t>
  </si>
  <si>
    <t>De relatieve wijziging van de consumentenprijsindex wordt berekend uit het quotiënt van van deze index, gepubliceerd in de vierde maand voorafgaande aan het jaar t, en van deze index, gepubliceerd</t>
  </si>
  <si>
    <t>in de zestiende maand voorafgaande aan het jaar t, zoals deze maandelijks wordt vastgesteld door het CBS.</t>
  </si>
  <si>
    <t>%</t>
  </si>
  <si>
    <t>Data rentepercentage tariefcorrecties</t>
  </si>
  <si>
    <t>Toelichting gegevens rentepercentage tariefcorrecties</t>
  </si>
  <si>
    <t>Rentepercentage tariefcorrecties</t>
  </si>
  <si>
    <t>Eerste kwartaal</t>
  </si>
  <si>
    <t>Tweede kwartaal</t>
  </si>
  <si>
    <t>Derde kwartaal</t>
  </si>
  <si>
    <t>Vierde kwartaal</t>
  </si>
  <si>
    <t>Voor bedragen oorspronkelijk in prijspeil 2017</t>
  </si>
  <si>
    <t>Mutatie van bedrag in oorspronkelijk prijspeil naar boekjaar</t>
  </si>
  <si>
    <t>Samengesteld percentage op basis van juli - juli mutatie:</t>
  </si>
  <si>
    <t>Boekjaar waarvoor mutatie rentepercentage berekend wordt:</t>
  </si>
  <si>
    <t>Berekening rentepercentage tariefcorrecties op jaarbasis</t>
  </si>
  <si>
    <t>Berekening mutatie rentepercentage tariefcorrecties over meerdere jaren</t>
  </si>
  <si>
    <t>Berekening op basis van parameters</t>
  </si>
  <si>
    <t>Totale Inkomsten exclusief correcties</t>
  </si>
  <si>
    <t>Begininkomsten 2016</t>
  </si>
  <si>
    <t>X-factor 2017-2021</t>
  </si>
  <si>
    <t>cpi 2017</t>
  </si>
  <si>
    <t>cpi 2018</t>
  </si>
  <si>
    <t>cpi 2019</t>
  </si>
  <si>
    <t>X-factor</t>
  </si>
  <si>
    <t>Begininkomsten</t>
  </si>
  <si>
    <t>Input x-factoren en begininkomsten</t>
  </si>
  <si>
    <t>COTEQ</t>
  </si>
  <si>
    <t>Begininkomsten 2016 (exclusief correcties) na aanpassing gegevens</t>
  </si>
  <si>
    <t>(virtuele) X-factor 2017-2021 na aanpassing gegevens</t>
  </si>
  <si>
    <t xml:space="preserve">StatLine </t>
  </si>
  <si>
    <t>EUR, pp 2016</t>
  </si>
  <si>
    <t>EUR, pp 2019</t>
  </si>
  <si>
    <t>EUR, pp 2018</t>
  </si>
  <si>
    <t>Informatieverzoek Invoeding groen gas 2013-2015</t>
  </si>
  <si>
    <t xml:space="preserve">Parameters </t>
  </si>
  <si>
    <t>Berekening richtbedragen</t>
  </si>
  <si>
    <t>Vanuit het oogpunt van kostenoriëntatie is het van belang dat de tariefinkomsten voor de transport- en aansluitdienst de verhouding in onderliggende kosten weerspiegelen.</t>
  </si>
  <si>
    <t>Om de richtbedragen te berekenen worden de volgende stappen doorlopen:</t>
  </si>
  <si>
    <t>- Ten eerste worden de efficiënte kosten voor de eenmalige aansluitdienst (EAV) bepaald aan de hand van gegevens uit het x-factormodel.</t>
  </si>
  <si>
    <t>Nacalculatiebedrag gederfde inkomsten a.g.v. te hoge vaststelling rekenvolumes</t>
  </si>
  <si>
    <t>Correctie gederfde inkomsten a.g.v. te hoge vaststelling rekenvolumes</t>
  </si>
  <si>
    <r>
      <t>m</t>
    </r>
    <r>
      <rPr>
        <sz val="9"/>
        <color theme="1"/>
        <rFont val="Arial"/>
        <family val="2"/>
      </rPr>
      <t>3</t>
    </r>
    <r>
      <rPr>
        <sz val="10"/>
        <color theme="1"/>
        <rFont val="Arial"/>
        <family val="2"/>
      </rPr>
      <t>/uur</t>
    </r>
  </si>
  <si>
    <t>Per 1 januari 2017 is netbeheerder Endinet opgegaan in Enexis. Om deze reden zijn de invoedingsvolumes van Endinet opgeteld bij de volumes van Enexis in de roze cellen.</t>
  </si>
  <si>
    <t>Data cpi</t>
  </si>
  <si>
    <t>Toelichting vaststelling jaarlijks cpi-percentage</t>
  </si>
  <si>
    <t>cpi percentage</t>
  </si>
  <si>
    <t>De gegevens zijn afkomstig uit StatLine, zie de reeks: Jaarmutatie consumentenprijsindex; vanaf 1963 (www.cbs.nl)</t>
  </si>
  <si>
    <t>1. Voor de bewerking wordt gebruik gemaakt van de GAW sheet bij x-factorbesluiten RNB’s gas 2017-2021</t>
  </si>
  <si>
    <t>4. Deze gegevens worden vervolgens, na correctie voor het juiste CPI niveau, ingevoerd in de GAW-tabellen in het x-factorbesluit op het blad 'Import GAW' voor de jaren 2013 t/m 2015.</t>
  </si>
  <si>
    <t>Op dit blad worden input gegevens berekend voor relevante parameters in de berekening van de Totale Inkomsten</t>
  </si>
  <si>
    <t>Voor bedragen oorspronkelijk in prijspeil 2018</t>
  </si>
  <si>
    <t>Aangezien de ACM hiervoor deze volumes niet in mindering heeft gebracht, bestaan de rekenvolumes van de netbeheerders voor een deel uit volumes waar geen inkomsten tegenover staan.</t>
  </si>
  <si>
    <t>Aansluitdienst &lt; 16 Bar - aansluitingen t/m 40 m3/n/h</t>
  </si>
  <si>
    <t>Aansluitdienst &lt; 16 Bar - aansluitingen &gt; 40 m3/n/h</t>
  </si>
  <si>
    <t>Deze parameters betreffen achtereenvolgens: cpi en rentepercentage tariefcorrecties</t>
  </si>
  <si>
    <t>cpi 2020</t>
  </si>
  <si>
    <t>EUR, pp 2020</t>
  </si>
  <si>
    <t>TI 2020 (exclusief correcties)</t>
  </si>
  <si>
    <t>Voor bedragen oorspronkelijk in prijspeil 2019</t>
  </si>
  <si>
    <t>Deze kleur wordt uitsluitend gebruikt bij een informatieverzoek: cellen die door de ontvanger van het dataverzoek moeten worden ingevuld</t>
  </si>
  <si>
    <t>Een kader kan worden gebruikt om aan te geven dat een bepaald veld input bevat, maar deze input automatisch wordt ingeladen, bijvoorbeeld door middel van een macro (dus niet handmatig in te vullen)</t>
  </si>
  <si>
    <t>Data en input (bron wordt vermeld)</t>
  </si>
  <si>
    <t>Input richtbedragen</t>
  </si>
  <si>
    <t xml:space="preserve">Beschrijving </t>
  </si>
  <si>
    <t>Ophalen efficiënte kosten EAV</t>
  </si>
  <si>
    <t>Berekening efficiënte kosten</t>
  </si>
  <si>
    <t xml:space="preserve">Berekening aandelen in totale efficiënte kosten </t>
  </si>
  <si>
    <t>EUR, pp 2021</t>
  </si>
  <si>
    <t>Data belastingen</t>
  </si>
  <si>
    <t>Deze parameters betreffen achtereenvolgens de cpi, het rentepercentage tariefcorrecties en de btw</t>
  </si>
  <si>
    <t>Tarievencode gas, onder Artikel 2.22 lid 6f</t>
  </si>
  <si>
    <t>Tarievencode gas, onder Artikel 2.28 lid 6b</t>
  </si>
  <si>
    <t>Voor bedragen oorspronkelijk in prijspeil 2020</t>
  </si>
  <si>
    <t>Op dit blad worden input gegevens verzameld voor relevante parameters in de berekening van de Totale Inkomsten.</t>
  </si>
  <si>
    <t xml:space="preserve">In maximumtarieven kunnen correcties worden gemaakt om rekening te houden met effecten van voorgaande jaren. </t>
  </si>
  <si>
    <t>Correctie</t>
  </si>
  <si>
    <t>Efficiënte kosten EAV</t>
  </si>
  <si>
    <t>Berekening aandeel efficiënte kosten</t>
  </si>
  <si>
    <t>Afgekochte precario (Transportdienst)</t>
  </si>
  <si>
    <t>Investeringsbedrag boekjaar precario</t>
  </si>
  <si>
    <t>Afschrijvingen precario</t>
  </si>
  <si>
    <t>Boekwaarde precario</t>
  </si>
  <si>
    <t>De berekening is uitgevoerd in het gewijzigde x-factormodel voor de reguleringsperiode 2017-2021, op het inputtablad voor deze nacalculatie staat een omschrijving van deze berekening.</t>
  </si>
  <si>
    <t>Tweede wijziging regionale netbeheerders gas 2017-2021 x-factorberekening (augustus 2020)</t>
  </si>
  <si>
    <t>Tweede wijziging x-factorberekening 2017-2021</t>
  </si>
  <si>
    <t>Tweede wijziging x-factorberekening 2017-2021, tabblad 'X-factor + TI-bedragen', rij 81</t>
  </si>
  <si>
    <t>Tweede wijziging x-factorberekening 2017-2021, tabblad 'X-factor + TI-bedragen', rij 85</t>
  </si>
  <si>
    <t>Tweede wijziging x-factorberekening 2017-2021, tabblad 'x-factor + TI-bedragen', rij 81, na aanpassing van gegevens zoals boven beschreven</t>
  </si>
  <si>
    <t>Tweede wijziging x-factorberekening 2017-2021, tabblad 'x-factor + TI-bedragen', rij 85, na aanpassing van gegevens zoals boven beschreven</t>
  </si>
  <si>
    <t>Berekening totale inkomsten regionale netbeheerders gas 2022</t>
  </si>
  <si>
    <t>Tarievenbesluiten regionale netbeheerders gas 2022</t>
  </si>
  <si>
    <t>Individuele tarievenmodules RNB gas 2022</t>
  </si>
  <si>
    <t>Dit Excel-bestand bevat de berekening van de Totale Inkomsten (TI) voor het jaar 2022 voor de regionale netbeheerders gas.</t>
  </si>
  <si>
    <t>In dit bestand worden de berekeningen gepresenteerd voor de vaststelling van de tarieven voor 2022, inclusief de berekening van de nacalculatiebedragen.</t>
  </si>
  <si>
    <t>Deze berekeningen maken onderdeel uit van de tarievenbesluiten gas 2022.</t>
  </si>
  <si>
    <t>Grijze cijfers geven de uitkomst van een check berekening; dit is geen resultaat waarmee verder wordt gerekend</t>
  </si>
  <si>
    <t>2022</t>
  </si>
  <si>
    <t>Begininkomsten 2021</t>
  </si>
  <si>
    <t>X-factor 2022-2026</t>
  </si>
  <si>
    <t>Lokale heffingen 2020</t>
  </si>
  <si>
    <t>Op dit blad worden input gegevens verzameld voor de nacalculatie 'Lokale heffingen 2020'. De berekening is uitgevoerd in het kostenbestand behorende bij de x-factorberekeningen RNB’s gas 2017-2021.</t>
  </si>
  <si>
    <t>Voor de operationele kosten van lokale heffingen wordt gebruik gemaakt van de reguleringsdata over 2020. Deze bedragen worden, na correctie voor het juiste CPI niveau, ingevoerd op het blad 'Import kosten 2012-2015' voor de jaren 2013 t/m 2015.</t>
  </si>
  <si>
    <t>2. Op blad InpC wordt de CPI ingevuld voor 2020 (2,8%).</t>
  </si>
  <si>
    <t>Invoeding groen gas 2021</t>
  </si>
  <si>
    <t>Op dit blad worden input gegevens verzameld voor de nacalculatie 'Invoeding groen gas 2021'.</t>
  </si>
  <si>
    <t>Ten behoeve van de nacalculatie worden op dit tabblad de tarieven 2021 en de invoedingsvolumes per netbeheerder opgehaald voor de jaren 2013 tot en met 2015.</t>
  </si>
  <si>
    <t>Tarieven en rekencapaciteiten 2021</t>
  </si>
  <si>
    <t>Voor bedragen oorspronkelijk in prijspeil 2021</t>
  </si>
  <si>
    <t>Berekening nacalculatie ORV Lokale Heffingen 2020</t>
  </si>
  <si>
    <t>In deze nacalculatie wordt bepaald welk inkomstenbedrag de netbeheerders gekregen zouden hebben wanneer de gegevens over lokale heffingen over 2020 bekend zouden zijn geweest bij het vaststellen van de x-factoren voor de reguleringsperiode 2017-2021 (REG2017).</t>
  </si>
  <si>
    <t>TI-bedrag 2020 o.b.v. gewijzigde x-factorberekening</t>
  </si>
  <si>
    <t>Toegestane inkomsten voor 2020 o.b.v. daadwerkelijke kosten voor lokale heffingen</t>
  </si>
  <si>
    <t>Toegestane inkomsten 2020 o.b.v. virtuele x-factor</t>
  </si>
  <si>
    <t>Nacalculatiebedrag Lokale Heffingen 2020</t>
  </si>
  <si>
    <t>Mutatie rentepercentage van 2020 naar 2022</t>
  </si>
  <si>
    <t>Correctie Lokale Heffingen 2020</t>
  </si>
  <si>
    <t>EUR, pp 2022</t>
  </si>
  <si>
    <t>Nacalculatie saldo verrekenen i.v.m. lagere tarieven RENDO 2020</t>
  </si>
  <si>
    <t>De ACM stelt jaarlijks de maximum tarieven vast per netbeheerder. In 2020 heeft RENDO tarieven gehanteerd die onder de maximum tarieven lagen.</t>
  </si>
  <si>
    <t>De ACM heeft besloten om, indien het saldo van deze latere correcties over het jaar 2020 tot een lager niveau van inkomsten leidt, er rekening mee te houden dat RENDO in 2020 met de daadwerkelijk gehanteerde tarieven minder dan de totale inkomsten op basis van de maximum tarieven heeft behaald.</t>
  </si>
  <si>
    <t>Indien er een negatief saldo vanuit de nacalculaties over 2020 resulteert, wordt dit met deze correctie (nacalculatie saldo verrekenen i.v.m. lagere tarieven RENDO) gecompenseerd, tot aan het bedrag van inkomsten dat RENDO over 2020 met de lagere tarieven niet heeft benut.</t>
  </si>
  <si>
    <t>TI 2020</t>
  </si>
  <si>
    <t>TI-bedrag (inclusief correcties) conform tarievenbesluit 2020</t>
  </si>
  <si>
    <t>TI-bedrag (inclusief correcties) met daadwerkelijk gehanteerde tarieven 2020</t>
  </si>
  <si>
    <t>Maximaal te verrekenen i.v.m. lagere tarieven RENDO over 2020</t>
  </si>
  <si>
    <t>Nacalculaties over 2020 na tariefjaar 2020</t>
  </si>
  <si>
    <t>Nacalculatie lokale heffingen 2020</t>
  </si>
  <si>
    <t>TI-berekening 2022</t>
  </si>
  <si>
    <t>Op dit tabblad worden de totale inkomsten (inclusief correcties) berekend. Dit gebeurt door de wettelijke formule toe te passen op de begininkomsten, dit resulteert in de TI 2022 (exclusief correcties). Hierop worden vervolgens correcties toegepast.</t>
  </si>
  <si>
    <t>cpi 2022</t>
  </si>
  <si>
    <t>Correcties in tarieven 2022</t>
  </si>
  <si>
    <t>Totaalbedrag Correcties in TI 2022</t>
  </si>
  <si>
    <t>Totale inkomsten 2022 inclusief correcties</t>
  </si>
  <si>
    <t>Totale inkomsten 2022 (incl. correcties)</t>
  </si>
  <si>
    <t>Operationele kosten Lokale Heffingen 2020 op basis van RD2020</t>
  </si>
  <si>
    <t>Kapitaalkosten die volgen uit bewerkte GAW-berekening voor kosten Precario-afkoop 2020</t>
  </si>
  <si>
    <t xml:space="preserve">5. De gegevens voor lokale heffingen uit het tabblad 'totale kosten' worden vervolgens gekopieerd naar het x-factor model op het tabblad 'Import kosten 2012 - 2015' </t>
  </si>
  <si>
    <t>Begininkomsten en x-factoren 2017-2021</t>
  </si>
  <si>
    <t>Op dit blad worden input gegevens verzameld uit de x-factor modellen.</t>
  </si>
  <si>
    <t>Begininkomsten en x-factoren 2022-2026</t>
  </si>
  <si>
    <t>Reguleringsdata 2020</t>
  </si>
  <si>
    <t>Tarievenbesluit regionale netbeheerders gas 2021</t>
  </si>
  <si>
    <t>Bijlage-2-tarievenblad-Coteq-gas-2021; Bijlage-2-tarievenblad-Enduris-gas-2021; Bijlage-2-tarievenblad-Enexis-gas-2021; Bijlage-2-tarievenblad-Liander-gas-2021; Bijlage-2-tarievenblad-RENDO-gas-2021; Bijlage-2-tarievenblad-Stedin-gas-2021; Bijlage-2-tarievenblad-Westland-gas-2021</t>
  </si>
  <si>
    <t>Reguleringsdata 2020, tabel 3A - Operat. kosten TD, cel 3A.A.44</t>
  </si>
  <si>
    <t>Reguleringsdata 2020, tabel 3A - Operat. kosten TD, cel 3A.A.45</t>
  </si>
  <si>
    <t>Reguleringsdata 2020, Tabel 3B - Operat. kosten AD, cel 3B.A.3</t>
  </si>
  <si>
    <t>Reguleringsdata 2020, Tabel 3B - Operat. kosten AD, cel 3B.A.4</t>
  </si>
  <si>
    <t>Reguleringsdata 2020, Tabel 3B - Operat. kosten AD, cel 3B.B.43</t>
  </si>
  <si>
    <t>Reguleringsdata 2020, Tabel 3B - Operat. kosten AD, cel 3B.B.44</t>
  </si>
  <si>
    <t>Ten behoeve hiervan neemt ACM hier een berekening op van de richtbedragen voor de transport- en aansluitdienst, op basis van het gewijzigde x-factormodel voor de periode 2022-2026.</t>
  </si>
  <si>
    <t>De op dit tabblad berekende bedragen zijn enkel van toepassing binnen de context van de berekening van de richtbedragen voor de tarievenbesluiten 2022.</t>
  </si>
  <si>
    <t>- Ten tweede worden de efficiënte kosten voor 2022 en 2026 bepaald, onderverdeeld naar de transportdienst, de periodieke aansluitvergoeding (PAV), de EAV en EHD.</t>
  </si>
  <si>
    <t>- Vervolgens worden op basis van de aandelen in de efficiënte kosten in de jaren 2022 en 2026 de aandelen in de inkomsten voor het jaar 2022 bepaald.</t>
  </si>
  <si>
    <t>- Op basis van de aandelen in de inkomsten voor het jaar 2022 worden de richtbedragen bepaald.</t>
  </si>
  <si>
    <t>EAV 2018</t>
  </si>
  <si>
    <t>EAV 2019</t>
  </si>
  <si>
    <t>EAV 2020</t>
  </si>
  <si>
    <t>cpi 2022-2026</t>
  </si>
  <si>
    <t>Efficiënte kosten 2026 AD</t>
  </si>
  <si>
    <t>EUR, pp 2026</t>
  </si>
  <si>
    <t>Efficiënte kosten 2026 TD</t>
  </si>
  <si>
    <t>Het verschil tussen dit inkomstenbedrag en het inkomstenbedrag zoals bepaald in het tarievenbesluit 2020 (exclusief correcties), geeft het nacalculatiebedrag.</t>
  </si>
  <si>
    <t>Toegestane inkomsten voor 2020 o.b.v.  geschatte kosten voor lokale heffingen</t>
  </si>
  <si>
    <t>De ACM berekent het nacalculatiebedrag voor de te hoog vastgestelde rekenvolumes door de gemiddelde volumes voor invoeding groen gas in de jaren 2013 tot en met 2015 te vermenigvuldigen met de tarieven voor het jaar 2021.</t>
  </si>
  <si>
    <t>Ophalen gegevens voor berekening: Tarieven en rekencapaciteiten 2021</t>
  </si>
  <si>
    <t>Gemiste omzet 2021</t>
  </si>
  <si>
    <t>Saldo verrekenen i.v.m. lagere tarieven RENDO 2020</t>
  </si>
  <si>
    <t>Ten behoeve hiervan neemt de ACM hier een berekening op van de richtbedragen voor de transport- en aansluitdienst, op basis van het nieuwe x-factormodel voor de periode 2022-2026.</t>
  </si>
  <si>
    <t>Efficiënte kosten EAV 2026</t>
  </si>
  <si>
    <t>Efficiënte kosten 2026 AD PAV</t>
  </si>
  <si>
    <t>Efficiënte kosten 2026 AD EAV</t>
  </si>
  <si>
    <t>Efficiënte kosten 2026</t>
  </si>
  <si>
    <t>Aandeel TD in efficiënte kosten 2026</t>
  </si>
  <si>
    <t>Aandeel AD PAV in efficiënte kosten 2026</t>
  </si>
  <si>
    <t>Aandeel AD EAV in efficiënte kosten 2026</t>
  </si>
  <si>
    <t>Invoeding groen gas 2022</t>
  </si>
  <si>
    <t>Inkomsten TD 2022 o.b.v. ingroei</t>
  </si>
  <si>
    <t>Efficiënte kosten 2021 AD</t>
  </si>
  <si>
    <t>Efficiënte kosten EAV 2021</t>
  </si>
  <si>
    <t>Efficiënte kosten 2021 TD</t>
  </si>
  <si>
    <t>Efficiënte kosten 2021 AD PAV</t>
  </si>
  <si>
    <t>Efficiënte kosten 2021 AD EAV</t>
  </si>
  <si>
    <t>Efficiënte kosten 2021</t>
  </si>
  <si>
    <t>Aandeel TD in efficiënte kosten 2021</t>
  </si>
  <si>
    <t>Aandeel AD PAV in efficiënte kosten 2021</t>
  </si>
  <si>
    <t>Aandeel AD EAV in efficiënte kosten 2021</t>
  </si>
  <si>
    <t>Aandeel TD in inkomsten 2022 o.b.v. ingroei</t>
  </si>
  <si>
    <t>Aandeel AD PAV in inkomsten 2022 o.b.v. ingroei</t>
  </si>
  <si>
    <t>Aandeel AD EAV in inkomsten 2022 o.b.v. ingroei</t>
  </si>
  <si>
    <t>Inkomsten AD PAV 2022 o.b.v. ingroei</t>
  </si>
  <si>
    <t>Inkomsten AD EAV 2022 o.b.v. ingroei</t>
  </si>
  <si>
    <t>Doorrekening in GAW-sheet</t>
  </si>
  <si>
    <t>Informatieverzoek invoeding groen gas 2013-2015</t>
  </si>
  <si>
    <t>Transportdientst</t>
  </si>
  <si>
    <t>Aansluitdienst</t>
  </si>
  <si>
    <t>TI 2022 (exclusief correcties)</t>
  </si>
  <si>
    <t>TI 2022 (inclusief correcties)</t>
  </si>
  <si>
    <t>CPI 2022-2026</t>
  </si>
  <si>
    <t>Mutatie rentepercentage van 2021 naar 2022</t>
  </si>
  <si>
    <t>- Ten tweede worden de efficiënte kosten voor 2022 en 2026 bepaald, onderverdeeld naar de transportdienst, de periodieke aansluitvergoeding (PAV) en de EAV.</t>
  </si>
  <si>
    <t>- Uitzondering hierop vormen de inkomsten als gevolg van de nieuwe taken en de correctie EHD. Deze worden afzonderlijk meegenomen in het berekenen van de richtbedragen voor de TD, AD PAV en AD EAV.</t>
  </si>
  <si>
    <t>Enduris en Stedin samengevoegd in verband met overname Enduris per 2022</t>
  </si>
  <si>
    <t>Vanaf TI berekening 2022 wordt voor de berekening van de nacalculaties de belastingrente vervangen door de wettelijke rente.</t>
  </si>
  <si>
    <t>StatLine</t>
  </si>
  <si>
    <t xml:space="preserve">Tarievenbesluit 2020 RENDO - somproduct tarieven en rekenvolumina </t>
  </si>
  <si>
    <t>https://opendata.cbs.nl/#/CBS/nl/dataset/70936ned/table?ts=1631782812900</t>
  </si>
  <si>
    <t>Tarievenbesluit 2020 RENDO</t>
  </si>
  <si>
    <t>De paarse cellen betreffen een schatting, op basis van het laatst bekende half jaar.</t>
  </si>
  <si>
    <t xml:space="preserve">https://www.acm.nl/nl/publicaties/x-factorberekening-regionale-netbeheerders-gas-2021-2026 </t>
  </si>
  <si>
    <t xml:space="preserve">https://www.acm.nl/nl/publicaties/berekening-x-factor-bij-gewijzigde-x-factorbesluiten-gas-2017-2021 </t>
  </si>
  <si>
    <t>https://www.acm.nl/nl/publicaties/tarievenbesluit-rendo-gas-2020</t>
  </si>
  <si>
    <t>De wettelijke rente wordt ieder halfjaar aangepast en gepubliceerd in het Staatsblad.</t>
  </si>
  <si>
    <t>Deze historische percentages zijn te vinden op de website van DNB.</t>
  </si>
  <si>
    <t>DNB</t>
  </si>
  <si>
    <t>https://www.dnb.nl/statistieken/data-zoeken/#/details/wettelijke-rente/dataset/2ed0b77d-72c5-47e8-8a3d-0c213048e11d/resource/b363a333-1ce1-4ba0-83b9-80bdf6f78fa0</t>
  </si>
  <si>
    <t>BTW</t>
  </si>
  <si>
    <t>Tarievenbesluiten regionale netbeheerders gas 2021</t>
  </si>
  <si>
    <t>https://www.rendonetwerken.nl/</t>
  </si>
  <si>
    <t>Tarieven 2020 RENDO</t>
  </si>
  <si>
    <t>Tarieven 2020 RENDO - somproduct tarieven en rekenvolumina</t>
  </si>
  <si>
    <t>Nominale PV TD 2022-2026</t>
  </si>
  <si>
    <t>Nominale PV AD 2022-2026</t>
  </si>
  <si>
    <t>Gewijzigde X-factorberekening regionale netbeheerders gas 2022 - 2026, tabblad  'Resultaat', regel 16</t>
  </si>
  <si>
    <t>Gewijzigde X-factorberekening regionale netbeheerders gas 2022 - 2026, tabblad  'Resultaat', regel 17</t>
  </si>
  <si>
    <t>Gewijzigde X-factorberekening regionale netbeheerders gas 2022 - 2026, tabblad  'Resultaat', regel 34</t>
  </si>
  <si>
    <t>Gewijzigde X-factorberekening regionale netbeheerders gas 2022 - 2026, tabblad  'Resultaat', regel 35</t>
  </si>
  <si>
    <t>Gewijzigde X-factorberekening regionale netbeheerders gas 2022 - 2026, tabblad  'X-factor &amp; tariefruimte', regel 25</t>
  </si>
  <si>
    <t>Gewijzigde X-factorberekening regionale netbeheerders gas 2022 - 2026, tabblad  'Totale kosten AD maatstaf', regel 69</t>
  </si>
  <si>
    <t>Gewijzigde X-factorberekening regionale netbeheerders gas 2022 - 2026, tabblad  'Kosten 2015-2020', regel 126</t>
  </si>
  <si>
    <t>Gewijzigde X-factorberekening regionale netbeheerders gas 2022 - 2026, tabblad  'Kosten 2015-2020', regel 127</t>
  </si>
  <si>
    <t>Gewijzigde X-factorberekening regionale netbeheerders gas 2022 - 2026, tabblad  'Kosten 2015-2020', regel 128</t>
  </si>
  <si>
    <t>Gewijzigde X-factorberekening regionale netbeheerders gas 2022 - 2026, tabblad  'Resultaat', regel 12</t>
  </si>
  <si>
    <t>Gewijzigde X-factorberekening regionale netbeheerders gas 2022 - 2026, tabblad  'Resultaat', regel 13</t>
  </si>
  <si>
    <t>Gewijzigde X-factorberekening regionale netbeheerders gas 2022 - 2026, tabblad  'Resultaat', regel 20</t>
  </si>
  <si>
    <t>Gewijzigde X-factorberekening regionale netbeheerders gas 2022-2026</t>
  </si>
  <si>
    <t>Gewijzigde X-factorberekening RNB G 2022-2026</t>
  </si>
  <si>
    <t>Ja</t>
  </si>
  <si>
    <t>Netbeheerders is de mogelijkheid geboden om de nacalculatie lokale heffingen enkel toe te rekenen aan de transportdienst. Liander en Stedin hebben hier gebruik van gemaakt.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</si>
</sst>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_-;_-* #,##0\-;_-* &quot;-&quot;??_-;_-@_-"/>
    <numFmt numFmtId="165" formatCode="_ * #,##0_ ;_ * \-#,##0_ ;_ * &quot;-&quot;??_ ;_ @_ "/>
    <numFmt numFmtId="166" formatCode="0.0%"/>
    <numFmt numFmtId="167" formatCode="_-* #,##0_-;_-* #,##0\-;_-* &quot;-&quot;_-;_-@_-"/>
    <numFmt numFmtId="168" formatCode="_-* #,##0.00_-;_-* #,##0.00\-;_-* &quot;-&quot;??_-;_-@_-"/>
  </numFmts>
  <fonts count="44"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b/>
      <sz val="14"/>
      <color rgb="FFFF0000"/>
      <name val="Arial"/>
      <family val="2"/>
    </font>
    <font>
      <u/>
      <sz val="11"/>
      <color theme="10"/>
      <name val="Calibri"/>
      <family val="2"/>
      <scheme val="minor"/>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b/>
      <sz val="11"/>
      <color theme="1"/>
      <name val="Calibri"/>
      <family val="2"/>
      <scheme val="minor"/>
    </font>
    <font>
      <i/>
      <sz val="10"/>
      <color theme="1"/>
      <name val="Arial"/>
      <family val="2"/>
    </font>
    <font>
      <i/>
      <sz val="10"/>
      <color rgb="FFFF0000"/>
      <name val="Arial"/>
      <family val="2"/>
    </font>
    <font>
      <b/>
      <sz val="11"/>
      <color indexed="8"/>
      <name val="Arial"/>
      <family val="2"/>
    </font>
    <font>
      <sz val="11"/>
      <color theme="1"/>
      <name val="Arial"/>
      <family val="2"/>
    </font>
    <font>
      <sz val="9"/>
      <color theme="1"/>
      <name val="Arial"/>
      <family val="2"/>
    </font>
    <font>
      <u/>
      <sz val="10"/>
      <color theme="10"/>
      <name val="Arial"/>
      <family val="2"/>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7030A0"/>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E1FFE1"/>
        <bgColor indexed="64"/>
      </patternFill>
    </fill>
    <fill>
      <patternFill patternType="solid">
        <fgColor rgb="FF99FF99"/>
        <bgColor indexed="64"/>
      </patternFill>
    </fill>
    <fill>
      <patternFill patternType="solid">
        <fgColor theme="0" tint="-0.14996795556505021"/>
        <bgColor indexed="64"/>
      </patternFill>
    </fill>
  </fills>
  <borders count="1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82">
    <xf numFmtId="0" fontId="0" fillId="0" borderId="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0" borderId="0">
      <alignment vertical="top"/>
    </xf>
    <xf numFmtId="49" fontId="15" fillId="5" borderId="1">
      <alignment vertical="top"/>
    </xf>
    <xf numFmtId="49" fontId="12" fillId="24" borderId="1">
      <alignment vertical="top"/>
    </xf>
    <xf numFmtId="49" fontId="12" fillId="0" borderId="0">
      <alignment vertical="top"/>
    </xf>
    <xf numFmtId="43" fontId="11" fillId="17" borderId="0">
      <alignment vertical="top"/>
    </xf>
    <xf numFmtId="43" fontId="11" fillId="16" borderId="0">
      <alignment vertical="top"/>
    </xf>
    <xf numFmtId="43" fontId="11" fillId="14" borderId="0">
      <alignment vertical="top"/>
    </xf>
    <xf numFmtId="43" fontId="11" fillId="7" borderId="0">
      <alignment vertical="top"/>
    </xf>
    <xf numFmtId="43" fontId="11" fillId="9" borderId="0">
      <alignment vertical="top"/>
    </xf>
    <xf numFmtId="43" fontId="11" fillId="18" borderId="0">
      <alignment vertical="top"/>
    </xf>
    <xf numFmtId="49" fontId="16" fillId="0" borderId="0">
      <alignment vertical="top"/>
    </xf>
    <xf numFmtId="0" fontId="23" fillId="20" borderId="3" applyNumberFormat="0" applyAlignment="0" applyProtection="0"/>
    <xf numFmtId="0" fontId="24" fillId="21" borderId="4" applyNumberFormat="0" applyAlignment="0" applyProtection="0"/>
    <xf numFmtId="0" fontId="25" fillId="21" borderId="3" applyNumberFormat="0" applyAlignment="0" applyProtection="0"/>
    <xf numFmtId="0" fontId="26" fillId="0" borderId="5" applyNumberFormat="0" applyFill="0" applyAlignment="0" applyProtection="0"/>
    <xf numFmtId="0" fontId="20" fillId="22" borderId="6" applyNumberFormat="0" applyAlignment="0" applyProtection="0"/>
    <xf numFmtId="0" fontId="22" fillId="23" borderId="7" applyNumberFormat="0" applyFont="0" applyAlignment="0" applyProtection="0"/>
    <xf numFmtId="0" fontId="28"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0" borderId="9" applyNumberFormat="0" applyFill="0" applyAlignment="0" applyProtection="0"/>
    <xf numFmtId="0" fontId="32" fillId="0" borderId="10" applyNumberFormat="0" applyFill="0" applyAlignment="0" applyProtection="0"/>
    <xf numFmtId="0" fontId="32" fillId="0" borderId="0" applyNumberFormat="0" applyFill="0" applyBorder="0" applyAlignment="0" applyProtection="0"/>
    <xf numFmtId="0" fontId="21" fillId="0" borderId="0" applyNumberFormat="0" applyFill="0" applyBorder="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35" fillId="48" borderId="0" applyNumberFormat="0" applyBorder="0" applyAlignment="0" applyProtection="0"/>
    <xf numFmtId="0" fontId="36" fillId="0" borderId="0" applyNumberFormat="0" applyFill="0" applyBorder="0" applyAlignment="0" applyProtection="0"/>
    <xf numFmtId="43" fontId="22" fillId="0" borderId="0" applyFont="0" applyFill="0" applyBorder="0" applyAlignment="0" applyProtection="0"/>
    <xf numFmtId="9" fontId="22" fillId="0" borderId="0" applyFont="0" applyFill="0" applyBorder="0" applyAlignment="0" applyProtection="0"/>
    <xf numFmtId="0" fontId="28" fillId="0" borderId="0" applyNumberFormat="0" applyFill="0" applyBorder="0" applyAlignment="0" applyProtection="0"/>
    <xf numFmtId="165" fontId="11" fillId="8" borderId="0"/>
    <xf numFmtId="43" fontId="11" fillId="50" borderId="0">
      <alignment vertical="top"/>
    </xf>
    <xf numFmtId="43" fontId="11" fillId="51" borderId="0">
      <alignment vertical="top"/>
    </xf>
    <xf numFmtId="43" fontId="11" fillId="52" borderId="0" applyNumberFormat="0">
      <alignment vertical="top"/>
    </xf>
    <xf numFmtId="0" fontId="28" fillId="0" borderId="0" applyNumberFormat="0" applyFill="0" applyBorder="0" applyAlignment="0" applyProtection="0"/>
    <xf numFmtId="9" fontId="11" fillId="0" borderId="0" applyFont="0" applyFill="0" applyBorder="0" applyAlignment="0" applyProtection="0"/>
    <xf numFmtId="168" fontId="11" fillId="0" borderId="0" applyFont="0" applyFill="0" applyBorder="0" applyAlignment="0" applyProtection="0"/>
    <xf numFmtId="43" fontId="22" fillId="0" borderId="0" applyFont="0" applyFill="0" applyBorder="0" applyAlignment="0" applyProtection="0"/>
    <xf numFmtId="168" fontId="11" fillId="0" borderId="0" applyFont="0" applyFill="0" applyBorder="0" applyAlignment="0" applyProtection="0"/>
    <xf numFmtId="9" fontId="22"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applyFill="0"/>
    <xf numFmtId="0" fontId="22" fillId="0" borderId="0"/>
    <xf numFmtId="0" fontId="11" fillId="0" borderId="0"/>
    <xf numFmtId="0" fontId="11" fillId="0" borderId="0"/>
    <xf numFmtId="0" fontId="11" fillId="0" borderId="0"/>
    <xf numFmtId="41" fontId="11" fillId="16" borderId="0">
      <alignment vertical="top"/>
    </xf>
  </cellStyleXfs>
  <cellXfs count="173">
    <xf numFmtId="0" fontId="0" fillId="0" borderId="0" xfId="0"/>
    <xf numFmtId="0" fontId="12" fillId="0" borderId="0" xfId="4" applyFont="1">
      <alignment vertical="top"/>
    </xf>
    <xf numFmtId="0" fontId="11" fillId="0" borderId="0" xfId="4">
      <alignment vertical="top"/>
    </xf>
    <xf numFmtId="0" fontId="13" fillId="0" borderId="0" xfId="4" applyFont="1">
      <alignment vertical="top"/>
    </xf>
    <xf numFmtId="0" fontId="15" fillId="6" borderId="1" xfId="4" applyFont="1" applyFill="1" applyBorder="1">
      <alignment vertical="top"/>
    </xf>
    <xf numFmtId="0" fontId="16" fillId="0" borderId="0" xfId="4" applyFont="1">
      <alignment vertical="top"/>
    </xf>
    <xf numFmtId="0" fontId="17" fillId="0" borderId="0" xfId="4" applyFont="1">
      <alignment vertical="top"/>
    </xf>
    <xf numFmtId="0" fontId="11" fillId="0" borderId="2" xfId="4" applyBorder="1">
      <alignment vertical="top"/>
    </xf>
    <xf numFmtId="49" fontId="12" fillId="24" borderId="1" xfId="6">
      <alignment vertical="top"/>
    </xf>
    <xf numFmtId="0" fontId="11" fillId="0" borderId="0" xfId="4" applyFill="1">
      <alignment vertical="top"/>
    </xf>
    <xf numFmtId="0" fontId="13" fillId="0" borderId="2" xfId="4" applyFont="1" applyBorder="1" applyAlignment="1">
      <alignment horizontal="left" vertical="top" wrapText="1"/>
    </xf>
    <xf numFmtId="0" fontId="11" fillId="0" borderId="2" xfId="4" applyBorder="1" applyAlignment="1">
      <alignment horizontal="left" vertical="top" wrapText="1"/>
    </xf>
    <xf numFmtId="0" fontId="15" fillId="5" borderId="1" xfId="4" applyFont="1" applyFill="1" applyBorder="1">
      <alignment vertical="top"/>
    </xf>
    <xf numFmtId="0" fontId="14" fillId="5" borderId="1" xfId="4" applyFont="1" applyFill="1" applyBorder="1">
      <alignment vertical="top"/>
    </xf>
    <xf numFmtId="0" fontId="14" fillId="6" borderId="1" xfId="4" applyFont="1" applyFill="1" applyBorder="1">
      <alignment vertical="top"/>
    </xf>
    <xf numFmtId="0" fontId="17" fillId="0" borderId="0" xfId="4" applyFont="1" applyFill="1">
      <alignment vertical="top"/>
    </xf>
    <xf numFmtId="0" fontId="11" fillId="11" borderId="0" xfId="4" applyFill="1">
      <alignment vertical="top"/>
    </xf>
    <xf numFmtId="0" fontId="11" fillId="12" borderId="0" xfId="4" applyFill="1">
      <alignment vertical="top"/>
    </xf>
    <xf numFmtId="0" fontId="11" fillId="13" borderId="0" xfId="4" applyFill="1">
      <alignment vertical="top"/>
    </xf>
    <xf numFmtId="0" fontId="11" fillId="8" borderId="0" xfId="4" applyFill="1">
      <alignment vertical="top"/>
    </xf>
    <xf numFmtId="0" fontId="16" fillId="0" borderId="0" xfId="4" applyFont="1" applyFill="1">
      <alignment vertical="top"/>
    </xf>
    <xf numFmtId="2" fontId="11" fillId="15" borderId="0" xfId="4" applyNumberFormat="1" applyFill="1">
      <alignment vertical="top"/>
    </xf>
    <xf numFmtId="1" fontId="11" fillId="0" borderId="0" xfId="4" applyNumberFormat="1" applyFill="1">
      <alignment vertical="top"/>
    </xf>
    <xf numFmtId="1" fontId="16" fillId="0" borderId="0" xfId="4" applyNumberFormat="1" applyFont="1" applyFill="1">
      <alignment vertical="top"/>
    </xf>
    <xf numFmtId="0" fontId="19" fillId="0" borderId="0" xfId="4" applyFont="1" applyFill="1">
      <alignment vertical="top"/>
    </xf>
    <xf numFmtId="0" fontId="15" fillId="5" borderId="1" xfId="5" applyNumberFormat="1">
      <alignment vertical="top"/>
    </xf>
    <xf numFmtId="0" fontId="21" fillId="0" borderId="0" xfId="4" applyFont="1">
      <alignment vertical="top"/>
    </xf>
    <xf numFmtId="0" fontId="13" fillId="10" borderId="0" xfId="4" applyFont="1" applyFill="1">
      <alignment vertical="top"/>
    </xf>
    <xf numFmtId="0" fontId="13" fillId="12" borderId="0" xfId="4" applyFont="1" applyFill="1">
      <alignment vertical="top"/>
    </xf>
    <xf numFmtId="0" fontId="13" fillId="13" borderId="0" xfId="4" applyFont="1" applyFill="1">
      <alignment vertical="top"/>
    </xf>
    <xf numFmtId="0" fontId="11" fillId="19" borderId="0" xfId="4" applyFill="1">
      <alignment vertical="top"/>
    </xf>
    <xf numFmtId="49" fontId="13" fillId="24" borderId="0" xfId="6" applyFont="1" applyBorder="1">
      <alignment vertical="top"/>
    </xf>
    <xf numFmtId="0" fontId="11" fillId="0" borderId="0" xfId="4" applyFont="1">
      <alignment vertical="top"/>
    </xf>
    <xf numFmtId="49" fontId="11" fillId="24" borderId="2" xfId="6" applyFont="1" applyBorder="1">
      <alignment vertical="top"/>
    </xf>
    <xf numFmtId="0" fontId="27" fillId="6" borderId="1" xfId="4" applyFont="1" applyFill="1" applyBorder="1">
      <alignment vertical="top"/>
    </xf>
    <xf numFmtId="0" fontId="13" fillId="0" borderId="0" xfId="4" applyFont="1" applyFill="1" applyBorder="1" applyAlignment="1">
      <alignment horizontal="left" vertical="top" wrapText="1"/>
    </xf>
    <xf numFmtId="0" fontId="0" fillId="0" borderId="0" xfId="0"/>
    <xf numFmtId="49" fontId="12" fillId="0" borderId="0" xfId="7">
      <alignment vertical="top"/>
    </xf>
    <xf numFmtId="0" fontId="7" fillId="0" borderId="0" xfId="0" applyFont="1"/>
    <xf numFmtId="165" fontId="11" fillId="0" borderId="0" xfId="0" applyNumberFormat="1" applyFont="1"/>
    <xf numFmtId="165" fontId="7" fillId="0" borderId="0" xfId="0" applyNumberFormat="1" applyFont="1"/>
    <xf numFmtId="43" fontId="11" fillId="0" borderId="0" xfId="0" applyNumberFormat="1" applyFont="1"/>
    <xf numFmtId="165" fontId="15" fillId="5" borderId="1" xfId="0" applyNumberFormat="1" applyFont="1" applyFill="1" applyBorder="1" applyAlignment="1">
      <alignment vertical="top"/>
    </xf>
    <xf numFmtId="165" fontId="11" fillId="0" borderId="0" xfId="0" applyNumberFormat="1" applyFont="1" applyAlignment="1">
      <alignment vertical="top"/>
    </xf>
    <xf numFmtId="165" fontId="12" fillId="24" borderId="1" xfId="0" applyNumberFormat="1" applyFont="1" applyFill="1" applyBorder="1" applyAlignment="1">
      <alignment vertical="top"/>
    </xf>
    <xf numFmtId="49" fontId="12" fillId="24" borderId="1" xfId="6" applyFont="1">
      <alignment vertical="top"/>
    </xf>
    <xf numFmtId="0" fontId="34" fillId="0" borderId="0" xfId="0" applyFont="1"/>
    <xf numFmtId="43" fontId="11" fillId="8" borderId="0" xfId="0" applyNumberFormat="1" applyFont="1" applyFill="1"/>
    <xf numFmtId="43" fontId="7" fillId="0" borderId="0" xfId="0" applyNumberFormat="1" applyFont="1"/>
    <xf numFmtId="43" fontId="0" fillId="0" borderId="0" xfId="0" applyNumberFormat="1"/>
    <xf numFmtId="0" fontId="37" fillId="0" borderId="0" xfId="0" applyFont="1"/>
    <xf numFmtId="43" fontId="0" fillId="8" borderId="0" xfId="0" applyNumberFormat="1" applyFill="1"/>
    <xf numFmtId="165" fontId="11" fillId="16" borderId="0" xfId="0" applyNumberFormat="1" applyFont="1" applyFill="1"/>
    <xf numFmtId="165" fontId="7" fillId="0" borderId="0" xfId="0" applyNumberFormat="1" applyFont="1" applyFill="1"/>
    <xf numFmtId="0" fontId="7" fillId="0" borderId="0" xfId="0" applyFont="1" applyFill="1"/>
    <xf numFmtId="165" fontId="11" fillId="0" borderId="0" xfId="0" applyNumberFormat="1" applyFont="1" applyFill="1"/>
    <xf numFmtId="0" fontId="0" fillId="0" borderId="0" xfId="0" applyFill="1"/>
    <xf numFmtId="165" fontId="11" fillId="8" borderId="0" xfId="0" applyNumberFormat="1" applyFont="1" applyFill="1"/>
    <xf numFmtId="43" fontId="0" fillId="0" borderId="0" xfId="0" applyNumberFormat="1" applyFill="1"/>
    <xf numFmtId="43" fontId="11" fillId="0" borderId="0" xfId="0" applyNumberFormat="1" applyFont="1" applyFill="1"/>
    <xf numFmtId="43" fontId="11" fillId="18" borderId="0" xfId="13">
      <alignment vertical="top"/>
    </xf>
    <xf numFmtId="0" fontId="7" fillId="0" borderId="0" xfId="0" applyFont="1" applyFill="1"/>
    <xf numFmtId="0" fontId="0" fillId="0" borderId="0" xfId="0" applyFont="1" applyFill="1"/>
    <xf numFmtId="0" fontId="11" fillId="0" borderId="0" xfId="0" applyFont="1" applyFill="1" applyAlignment="1">
      <alignment vertical="top"/>
    </xf>
    <xf numFmtId="165" fontId="11" fillId="17" borderId="0" xfId="8" applyNumberFormat="1">
      <alignment vertical="top"/>
    </xf>
    <xf numFmtId="165" fontId="11" fillId="16" borderId="0" xfId="9" applyNumberFormat="1">
      <alignment vertical="top"/>
    </xf>
    <xf numFmtId="0" fontId="11" fillId="0" borderId="0" xfId="0" applyFont="1" applyFill="1"/>
    <xf numFmtId="0" fontId="11" fillId="0" borderId="0" xfId="0" applyFont="1"/>
    <xf numFmtId="0" fontId="12" fillId="0" borderId="0" xfId="4" applyFont="1" applyFill="1">
      <alignment vertical="top"/>
    </xf>
    <xf numFmtId="49" fontId="12" fillId="0" borderId="1" xfId="6" applyFill="1">
      <alignment vertical="top"/>
    </xf>
    <xf numFmtId="49" fontId="12" fillId="0" borderId="1" xfId="6" applyFont="1" applyFill="1">
      <alignment vertical="top"/>
    </xf>
    <xf numFmtId="165" fontId="12" fillId="0" borderId="1" xfId="0" applyNumberFormat="1" applyFont="1" applyFill="1" applyBorder="1" applyAlignment="1">
      <alignment vertical="top"/>
    </xf>
    <xf numFmtId="0" fontId="34" fillId="0" borderId="0" xfId="0" applyFont="1" applyFill="1"/>
    <xf numFmtId="43" fontId="7" fillId="0" borderId="0" xfId="0" applyNumberFormat="1" applyFont="1" applyFill="1"/>
    <xf numFmtId="0" fontId="37" fillId="0" borderId="0" xfId="0" applyFont="1" applyFill="1"/>
    <xf numFmtId="0" fontId="12" fillId="0" borderId="0" xfId="0" applyFont="1" applyFill="1"/>
    <xf numFmtId="0" fontId="16" fillId="0" borderId="0" xfId="0" applyFont="1" applyFill="1"/>
    <xf numFmtId="0" fontId="7" fillId="0" borderId="0" xfId="0" applyFont="1" applyFill="1"/>
    <xf numFmtId="0" fontId="11" fillId="0" borderId="0" xfId="0" applyFont="1" applyFill="1"/>
    <xf numFmtId="0" fontId="11" fillId="0" borderId="0" xfId="0" applyFont="1" applyFill="1"/>
    <xf numFmtId="0" fontId="38" fillId="0" borderId="0" xfId="0" applyFont="1" applyFill="1"/>
    <xf numFmtId="0" fontId="11" fillId="49" borderId="0" xfId="0" applyFont="1" applyFill="1" applyAlignment="1">
      <alignment horizontal="left" vertical="top" indent="1"/>
    </xf>
    <xf numFmtId="0" fontId="11" fillId="0" borderId="0" xfId="0" applyFont="1"/>
    <xf numFmtId="0" fontId="7" fillId="0" borderId="0" xfId="0" applyFont="1"/>
    <xf numFmtId="0" fontId="16" fillId="0" borderId="0" xfId="0" applyFont="1" applyFill="1"/>
    <xf numFmtId="0" fontId="11" fillId="0" borderId="0" xfId="0" applyFont="1" applyBorder="1"/>
    <xf numFmtId="0" fontId="11" fillId="0" borderId="0" xfId="4" applyFill="1" applyBorder="1">
      <alignment vertical="top"/>
    </xf>
    <xf numFmtId="49" fontId="12" fillId="0" borderId="0" xfId="6" applyFill="1" applyBorder="1">
      <alignment vertical="top"/>
    </xf>
    <xf numFmtId="0" fontId="39" fillId="0" borderId="0" xfId="0" applyFont="1" applyFill="1"/>
    <xf numFmtId="0" fontId="11" fillId="0" borderId="0" xfId="0" applyFont="1"/>
    <xf numFmtId="0" fontId="7" fillId="0" borderId="0" xfId="0" applyFont="1" applyFill="1" applyBorder="1"/>
    <xf numFmtId="0" fontId="11" fillId="0" borderId="0" xfId="0" applyFont="1" applyFill="1" applyBorder="1"/>
    <xf numFmtId="43" fontId="11" fillId="0" borderId="0" xfId="13" applyFill="1">
      <alignment vertical="top"/>
    </xf>
    <xf numFmtId="0" fontId="11" fillId="0" borderId="0" xfId="0" applyFont="1" applyFill="1"/>
    <xf numFmtId="165" fontId="11" fillId="18" borderId="0" xfId="13" applyNumberFormat="1">
      <alignment vertical="top"/>
    </xf>
    <xf numFmtId="164" fontId="11" fillId="16" borderId="0" xfId="0" applyNumberFormat="1" applyFont="1" applyFill="1"/>
    <xf numFmtId="0" fontId="12" fillId="0" borderId="0" xfId="0" applyFont="1" applyFill="1" applyBorder="1" applyAlignment="1">
      <alignment horizontal="center" textRotation="90"/>
    </xf>
    <xf numFmtId="0" fontId="17" fillId="0" borderId="0" xfId="0" applyFont="1" applyFill="1" applyBorder="1" applyAlignment="1">
      <alignment horizontal="center" textRotation="90"/>
    </xf>
    <xf numFmtId="0" fontId="12" fillId="0" borderId="0" xfId="0" applyFont="1" applyFill="1" applyBorder="1" applyAlignment="1">
      <alignment horizontal="left"/>
    </xf>
    <xf numFmtId="10" fontId="7" fillId="0" borderId="0" xfId="0" applyNumberFormat="1" applyFont="1" applyFill="1"/>
    <xf numFmtId="0" fontId="0" fillId="0" borderId="0" xfId="0"/>
    <xf numFmtId="166" fontId="11" fillId="18" borderId="0" xfId="61" applyNumberFormat="1" applyFont="1" applyFill="1" applyAlignment="1">
      <alignment vertical="top"/>
    </xf>
    <xf numFmtId="166" fontId="11" fillId="16" borderId="0" xfId="61" applyNumberFormat="1" applyFont="1" applyFill="1" applyAlignment="1">
      <alignment vertical="top"/>
    </xf>
    <xf numFmtId="49" fontId="11" fillId="0" borderId="0" xfId="4" applyNumberFormat="1">
      <alignment vertical="top"/>
    </xf>
    <xf numFmtId="166" fontId="11" fillId="14" borderId="0" xfId="61" applyNumberFormat="1" applyFont="1" applyFill="1" applyAlignment="1">
      <alignment vertical="top"/>
    </xf>
    <xf numFmtId="0" fontId="12" fillId="24" borderId="1" xfId="6" applyNumberFormat="1">
      <alignment vertical="top"/>
    </xf>
    <xf numFmtId="167" fontId="7" fillId="16" borderId="0" xfId="0" applyNumberFormat="1" applyFont="1" applyFill="1"/>
    <xf numFmtId="165" fontId="7" fillId="18" borderId="0" xfId="0" applyNumberFormat="1" applyFont="1" applyFill="1"/>
    <xf numFmtId="165" fontId="7" fillId="16" borderId="0" xfId="0" applyNumberFormat="1" applyFont="1" applyFill="1"/>
    <xf numFmtId="165" fontId="11" fillId="14" borderId="0" xfId="10" applyNumberFormat="1">
      <alignment vertical="top"/>
    </xf>
    <xf numFmtId="164" fontId="7" fillId="17" borderId="0" xfId="0" applyNumberFormat="1" applyFont="1" applyFill="1"/>
    <xf numFmtId="165" fontId="0" fillId="0" borderId="0" xfId="0" applyNumberFormat="1" applyFill="1"/>
    <xf numFmtId="43" fontId="11" fillId="18" borderId="0" xfId="13" applyNumberFormat="1">
      <alignment vertical="top"/>
    </xf>
    <xf numFmtId="10" fontId="11" fillId="18" borderId="0" xfId="61" applyNumberFormat="1" applyFont="1" applyFill="1" applyAlignment="1">
      <alignment vertical="top"/>
    </xf>
    <xf numFmtId="0" fontId="11" fillId="0" borderId="2" xfId="4" applyBorder="1" applyAlignment="1">
      <alignment vertical="top" wrapText="1"/>
    </xf>
    <xf numFmtId="0" fontId="11" fillId="0" borderId="0" xfId="0" applyNumberFormat="1" applyFont="1"/>
    <xf numFmtId="0" fontId="40" fillId="0" borderId="0" xfId="0" applyFont="1" applyFill="1" applyBorder="1"/>
    <xf numFmtId="0" fontId="41" fillId="0" borderId="0" xfId="0" applyFont="1" applyFill="1" applyBorder="1"/>
    <xf numFmtId="0" fontId="41" fillId="0" borderId="0" xfId="0" applyFont="1"/>
    <xf numFmtId="2" fontId="12" fillId="24" borderId="1" xfId="6" applyNumberFormat="1">
      <alignment vertical="top"/>
    </xf>
    <xf numFmtId="10" fontId="11" fillId="0" borderId="0" xfId="4" applyNumberFormat="1">
      <alignment vertical="top"/>
    </xf>
    <xf numFmtId="165" fontId="11" fillId="8" borderId="0" xfId="63"/>
    <xf numFmtId="164" fontId="11" fillId="0" borderId="0" xfId="4" applyNumberFormat="1">
      <alignment vertical="top"/>
    </xf>
    <xf numFmtId="0" fontId="0" fillId="0" borderId="0" xfId="0"/>
    <xf numFmtId="49" fontId="16" fillId="0" borderId="0" xfId="14">
      <alignment vertical="top"/>
    </xf>
    <xf numFmtId="43" fontId="11" fillId="50" borderId="0" xfId="64">
      <alignment vertical="top"/>
    </xf>
    <xf numFmtId="49" fontId="11" fillId="0" borderId="0" xfId="14" applyFont="1">
      <alignment vertical="top"/>
    </xf>
    <xf numFmtId="43" fontId="11" fillId="51" borderId="0" xfId="65">
      <alignment vertical="top"/>
    </xf>
    <xf numFmtId="43" fontId="11" fillId="14" borderId="0" xfId="10">
      <alignment vertical="top"/>
    </xf>
    <xf numFmtId="165" fontId="11" fillId="50" borderId="0" xfId="64" applyNumberFormat="1">
      <alignment vertical="top"/>
    </xf>
    <xf numFmtId="10" fontId="11" fillId="50" borderId="0" xfId="61" applyNumberFormat="1" applyFont="1" applyFill="1" applyAlignment="1">
      <alignment vertical="top"/>
    </xf>
    <xf numFmtId="43" fontId="11" fillId="50" borderId="2" xfId="64" applyBorder="1">
      <alignment vertical="top"/>
    </xf>
    <xf numFmtId="0" fontId="19" fillId="0" borderId="0" xfId="0" applyFont="1" applyFill="1" applyAlignment="1">
      <alignment vertical="top"/>
    </xf>
    <xf numFmtId="49" fontId="11" fillId="0" borderId="0" xfId="7" applyFont="1">
      <alignment vertical="top"/>
    </xf>
    <xf numFmtId="0" fontId="11" fillId="0" borderId="0" xfId="4" applyAlignment="1">
      <alignment vertical="top" wrapText="1"/>
    </xf>
    <xf numFmtId="0" fontId="14" fillId="6" borderId="1" xfId="4" applyFont="1" applyFill="1" applyBorder="1" applyAlignment="1">
      <alignment vertical="top" wrapText="1"/>
    </xf>
    <xf numFmtId="49" fontId="12" fillId="24" borderId="1" xfId="6" applyAlignment="1">
      <alignment vertical="top" wrapText="1"/>
    </xf>
    <xf numFmtId="167" fontId="11" fillId="0" borderId="0" xfId="4" applyNumberFormat="1">
      <alignment vertical="top"/>
    </xf>
    <xf numFmtId="9" fontId="11" fillId="50" borderId="0" xfId="64" applyNumberFormat="1">
      <alignment vertical="top"/>
    </xf>
    <xf numFmtId="0" fontId="11" fillId="0" borderId="0" xfId="0" quotePrefix="1" applyFont="1"/>
    <xf numFmtId="10" fontId="11" fillId="14" borderId="0" xfId="61" applyNumberFormat="1" applyFont="1" applyFill="1" applyAlignment="1">
      <alignment vertical="top"/>
    </xf>
    <xf numFmtId="0" fontId="11" fillId="0" borderId="0" xfId="0" applyFont="1" applyFill="1" applyBorder="1"/>
    <xf numFmtId="0" fontId="11" fillId="52" borderId="0" xfId="66" applyNumberFormat="1">
      <alignment vertical="top"/>
    </xf>
    <xf numFmtId="0" fontId="11" fillId="0" borderId="0" xfId="0" applyFont="1" applyFill="1"/>
    <xf numFmtId="0" fontId="7" fillId="0" borderId="0" xfId="0" applyFont="1" applyFill="1"/>
    <xf numFmtId="0" fontId="12" fillId="49" borderId="0" xfId="0" applyFont="1" applyFill="1" applyAlignment="1">
      <alignment vertical="top"/>
    </xf>
    <xf numFmtId="0" fontId="12" fillId="0" borderId="0" xfId="0" applyFont="1" applyFill="1" applyBorder="1"/>
    <xf numFmtId="0" fontId="17" fillId="0" borderId="0" xfId="0" applyFont="1" applyFill="1" applyBorder="1"/>
    <xf numFmtId="165" fontId="7" fillId="0" borderId="0" xfId="0" applyNumberFormat="1" applyFont="1" applyFill="1" applyBorder="1" applyAlignment="1">
      <alignment vertical="top"/>
    </xf>
    <xf numFmtId="0" fontId="6" fillId="0" borderId="0" xfId="0" applyFont="1"/>
    <xf numFmtId="0" fontId="6" fillId="0" borderId="0" xfId="0" applyFont="1" applyFill="1"/>
    <xf numFmtId="0" fontId="11" fillId="0" borderId="0" xfId="80"/>
    <xf numFmtId="0" fontId="5" fillId="0" borderId="0" xfId="0" applyFont="1"/>
    <xf numFmtId="43" fontId="5" fillId="0" borderId="0" xfId="0" applyNumberFormat="1" applyFont="1"/>
    <xf numFmtId="0" fontId="4" fillId="0" borderId="0" xfId="0" applyFont="1"/>
    <xf numFmtId="0" fontId="4" fillId="0" borderId="0" xfId="0" quotePrefix="1" applyFont="1"/>
    <xf numFmtId="0" fontId="3" fillId="0" borderId="0" xfId="0" applyFont="1" applyFill="1"/>
    <xf numFmtId="0" fontId="11" fillId="49" borderId="0" xfId="4" applyFill="1">
      <alignment vertical="top"/>
    </xf>
    <xf numFmtId="0" fontId="5" fillId="49" borderId="0" xfId="0" applyFont="1" applyFill="1"/>
    <xf numFmtId="165" fontId="11" fillId="49" borderId="0" xfId="9" applyNumberFormat="1" applyFill="1">
      <alignment vertical="top"/>
    </xf>
    <xf numFmtId="165" fontId="11" fillId="49" borderId="0" xfId="64" applyNumberFormat="1" applyFill="1">
      <alignment vertical="top"/>
    </xf>
    <xf numFmtId="165" fontId="11" fillId="52" borderId="0" xfId="66" applyNumberFormat="1">
      <alignment vertical="top"/>
    </xf>
    <xf numFmtId="43" fontId="11" fillId="52" borderId="0" xfId="66">
      <alignment vertical="top"/>
    </xf>
    <xf numFmtId="10" fontId="11" fillId="0" borderId="0" xfId="61" applyNumberFormat="1" applyFont="1" applyFill="1" applyAlignment="1">
      <alignment vertical="top"/>
    </xf>
    <xf numFmtId="0" fontId="2" fillId="0" borderId="0" xfId="0" applyFont="1"/>
    <xf numFmtId="165" fontId="11" fillId="0" borderId="0" xfId="0" applyNumberFormat="1" applyFont="1" applyFill="1" applyAlignment="1">
      <alignment vertical="top"/>
    </xf>
    <xf numFmtId="0" fontId="2" fillId="0" borderId="0" xfId="0" quotePrefix="1" applyFont="1"/>
    <xf numFmtId="165" fontId="11" fillId="0" borderId="0" xfId="4" applyNumberFormat="1">
      <alignment vertical="top"/>
    </xf>
    <xf numFmtId="0" fontId="20" fillId="5" borderId="1" xfId="4" applyFont="1" applyFill="1" applyBorder="1">
      <alignment vertical="top"/>
    </xf>
    <xf numFmtId="0" fontId="11" fillId="0" borderId="2" xfId="0" applyFont="1" applyBorder="1" applyAlignment="1">
      <alignment vertical="top"/>
    </xf>
    <xf numFmtId="0" fontId="28" fillId="0" borderId="0" xfId="62"/>
    <xf numFmtId="0" fontId="43" fillId="0" borderId="2" xfId="67" applyFont="1" applyBorder="1" applyAlignment="1">
      <alignment vertical="top" wrapText="1"/>
    </xf>
    <xf numFmtId="0" fontId="11" fillId="49" borderId="2" xfId="4" applyFill="1" applyBorder="1" applyAlignment="1">
      <alignment horizontal="left" vertical="top" wrapText="1"/>
    </xf>
  </cellXfs>
  <cellStyles count="82">
    <cellStyle name="_kop1 Bladtitel" xfId="5" xr:uid="{00000000-0005-0000-0000-000000000000}"/>
    <cellStyle name="_kop2 Bloktitel" xfId="6" xr:uid="{00000000-0005-0000-0000-000001000000}"/>
    <cellStyle name="_kop3 Subkop" xfId="7" xr:uid="{00000000-0005-0000-0000-000002000000}"/>
    <cellStyle name="20% - Accent1" xfId="36" builtinId="30" hidden="1"/>
    <cellStyle name="20% - Accent2" xfId="40" builtinId="34" hidden="1"/>
    <cellStyle name="20% - Accent3" xfId="44" builtinId="38" hidden="1"/>
    <cellStyle name="20% - Accent4" xfId="48" builtinId="42" hidden="1"/>
    <cellStyle name="20% - Accent5" xfId="52" builtinId="46" hidden="1"/>
    <cellStyle name="20% - Accent6" xfId="56" builtinId="50" hidden="1"/>
    <cellStyle name="40% - Accent1" xfId="37" builtinId="31" hidden="1"/>
    <cellStyle name="40% - Accent2" xfId="41" builtinId="35" hidden="1"/>
    <cellStyle name="40% - Accent3" xfId="45" builtinId="39" hidden="1"/>
    <cellStyle name="40% - Accent4" xfId="49" builtinId="43" hidden="1"/>
    <cellStyle name="40% - Accent5" xfId="53" builtinId="47" hidden="1"/>
    <cellStyle name="40% - Accent6" xfId="57" builtinId="51" hidden="1"/>
    <cellStyle name="60% - Accent1" xfId="38" builtinId="32" hidden="1"/>
    <cellStyle name="60% - Accent2" xfId="42" builtinId="36" hidden="1"/>
    <cellStyle name="60% - Accent3" xfId="46" builtinId="40" hidden="1"/>
    <cellStyle name="60% - Accent4" xfId="50" builtinId="44" hidden="1"/>
    <cellStyle name="60% - Accent5" xfId="54" builtinId="48" hidden="1"/>
    <cellStyle name="60% - Accent6" xfId="58" builtinId="52" hidden="1"/>
    <cellStyle name="Accent1" xfId="35" builtinId="29" hidden="1"/>
    <cellStyle name="Accent2" xfId="39" builtinId="33" hidden="1"/>
    <cellStyle name="Accent3" xfId="43" builtinId="37" hidden="1"/>
    <cellStyle name="Accent4" xfId="47" builtinId="41" hidden="1"/>
    <cellStyle name="Accent5" xfId="51" builtinId="45" hidden="1"/>
    <cellStyle name="Accent6" xfId="55" builtinId="49" hidden="1"/>
    <cellStyle name="Berekening" xfId="17" builtinId="22" hidden="1"/>
    <cellStyle name="Cel (tussen)resultaat" xfId="8" xr:uid="{00000000-0005-0000-0000-00001C000000}"/>
    <cellStyle name="Cel Berekening" xfId="9" xr:uid="{00000000-0005-0000-0000-00001D000000}"/>
    <cellStyle name="Cel Berekening 2" xfId="81" xr:uid="{64C68C5C-BD60-4364-B2EA-FE214186076F}"/>
    <cellStyle name="Cel Bijzonderheid" xfId="10" xr:uid="{00000000-0005-0000-0000-00001E000000}"/>
    <cellStyle name="Cel Input" xfId="11" xr:uid="{00000000-0005-0000-0000-00001F000000}"/>
    <cellStyle name="Cel Input 2" xfId="64" xr:uid="{00000000-0005-0000-0000-000020000000}"/>
    <cellStyle name="Cel Input Data" xfId="65" xr:uid="{00000000-0005-0000-0000-000021000000}"/>
    <cellStyle name="Cel n.v.t. (leeg)" xfId="66" xr:uid="{00000000-0005-0000-0000-000022000000}"/>
    <cellStyle name="Cel PM extern" xfId="12" xr:uid="{00000000-0005-0000-0000-000023000000}"/>
    <cellStyle name="Cel Verwijzing" xfId="13" xr:uid="{00000000-0005-0000-0000-000024000000}"/>
    <cellStyle name="Controlecel" xfId="19" builtinId="23" hidden="1"/>
    <cellStyle name="Gekoppelde cel" xfId="18" builtinId="24" hidden="1"/>
    <cellStyle name="Gevolgde hyperlink" xfId="59" builtinId="9" hidden="1"/>
    <cellStyle name="Goed" xfId="1" builtinId="26" hidden="1"/>
    <cellStyle name="Grijze cel" xfId="63" xr:uid="{00000000-0005-0000-0000-000029000000}"/>
    <cellStyle name="Hyperlink" xfId="21" builtinId="8" hidden="1"/>
    <cellStyle name="Hyperlink" xfId="62" builtinId="8"/>
    <cellStyle name="Hyperlink 2" xfId="67" xr:uid="{00000000-0005-0000-0000-00002C000000}"/>
    <cellStyle name="Invoer" xfId="15" builtinId="20" hidden="1"/>
    <cellStyle name="Komma" xfId="22" builtinId="3" hidden="1"/>
    <cellStyle name="Komma" xfId="60" builtinId="3" hidden="1"/>
    <cellStyle name="Komma [0]" xfId="23" builtinId="6" hidden="1"/>
    <cellStyle name="Komma 3" xfId="69" xr:uid="{00000000-0005-0000-0000-000031000000}"/>
    <cellStyle name="Komma 4" xfId="70" xr:uid="{00000000-0005-0000-0000-000032000000}"/>
    <cellStyle name="Komma 5" xfId="71" xr:uid="{00000000-0005-0000-0000-000033000000}"/>
    <cellStyle name="Kop 1" xfId="28" builtinId="16" hidden="1"/>
    <cellStyle name="Kop 2" xfId="29" builtinId="17" hidden="1"/>
    <cellStyle name="Kop 3" xfId="30" builtinId="18" hidden="1"/>
    <cellStyle name="Kop 4" xfId="31" builtinId="19" hidden="1"/>
    <cellStyle name="Neutraal" xfId="3" builtinId="28" hidden="1"/>
    <cellStyle name="Notitie" xfId="20" builtinId="10" hidden="1"/>
    <cellStyle name="Ongeldig" xfId="2" builtinId="27" hidden="1"/>
    <cellStyle name="Procent" xfId="26" builtinId="5" hidden="1"/>
    <cellStyle name="Procent" xfId="61" builtinId="5"/>
    <cellStyle name="Procent 2" xfId="68" xr:uid="{00000000-0005-0000-0000-00003D000000}"/>
    <cellStyle name="Procent 3" xfId="72" xr:uid="{00000000-0005-0000-0000-00003E000000}"/>
    <cellStyle name="Procent 4" xfId="73" xr:uid="{00000000-0005-0000-0000-00003F000000}"/>
    <cellStyle name="Standaard" xfId="0" builtinId="0"/>
    <cellStyle name="Standaard 2" xfId="74" xr:uid="{00000000-0005-0000-0000-000041000000}"/>
    <cellStyle name="Standaard 2 2" xfId="80" xr:uid="{018D6841-10FA-4212-AC2E-A44822A7D589}"/>
    <cellStyle name="Standaard 3" xfId="75" xr:uid="{00000000-0005-0000-0000-000042000000}"/>
    <cellStyle name="Standaard 4" xfId="76" xr:uid="{00000000-0005-0000-0000-000043000000}"/>
    <cellStyle name="Standaard 6" xfId="77" xr:uid="{00000000-0005-0000-0000-000044000000}"/>
    <cellStyle name="Standaard 7" xfId="78" xr:uid="{00000000-0005-0000-0000-000045000000}"/>
    <cellStyle name="Standaard 8" xfId="79" xr:uid="{00000000-0005-0000-0000-000046000000}"/>
    <cellStyle name="Standaard ACM-DE" xfId="4" xr:uid="{00000000-0005-0000-0000-000047000000}"/>
    <cellStyle name="Titel" xfId="27" builtinId="15" hidden="1"/>
    <cellStyle name="Toelichting" xfId="14" xr:uid="{00000000-0005-0000-0000-000049000000}"/>
    <cellStyle name="Totaal" xfId="34" builtinId="25" hidden="1"/>
    <cellStyle name="Uitvoer" xfId="16" builtinId="21" hidden="1"/>
    <cellStyle name="Valuta" xfId="24" builtinId="4" hidden="1"/>
    <cellStyle name="Valuta [0]" xfId="25" builtinId="7" hidden="1"/>
    <cellStyle name="Verklarende tekst" xfId="33" builtinId="53" hidden="1"/>
    <cellStyle name="Waarschuwingstekst" xfId="32" builtinId="11" hidden="1"/>
  </cellStyles>
  <dxfs count="0"/>
  <tableStyles count="0" defaultTableStyle="TableStyleMedium2" defaultPivotStyle="PivotStyleLight16"/>
  <colors>
    <mruColors>
      <color rgb="FFCCFFCC"/>
      <color rgb="FFFF00FF"/>
      <color rgb="FFFFFFCC"/>
      <color rgb="FFFF66CC"/>
      <color rgb="FFCCC8D9"/>
      <color rgb="FFCCFF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146850</xdr:colOff>
      <xdr:row>19</xdr:row>
      <xdr:rowOff>8005</xdr:rowOff>
    </xdr:from>
    <xdr:to>
      <xdr:col>12</xdr:col>
      <xdr:colOff>126850</xdr:colOff>
      <xdr:row>23</xdr:row>
      <xdr:rowOff>10828</xdr:rowOff>
    </xdr:to>
    <xdr:sp macro="" textlink="">
      <xdr:nvSpPr>
        <xdr:cNvPr id="2" name="Rechthoek 1">
          <a:extLst>
            <a:ext uri="{FF2B5EF4-FFF2-40B4-BE49-F238E27FC236}">
              <a16:creationId xmlns:a16="http://schemas.microsoft.com/office/drawing/2014/main" id="{00000000-0008-0000-0100-000002000000}"/>
            </a:ext>
          </a:extLst>
        </xdr:cNvPr>
        <xdr:cNvSpPr/>
      </xdr:nvSpPr>
      <xdr:spPr>
        <a:xfrm>
          <a:off x="5671350" y="3352338"/>
          <a:ext cx="1821500" cy="764823"/>
        </a:xfrm>
        <a:prstGeom prst="rect">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Tarievenbladen</a:t>
          </a:r>
          <a:endParaRPr kumimoji="0" lang="nl-NL" sz="14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5</xdr:col>
      <xdr:colOff>19051</xdr:colOff>
      <xdr:row>18</xdr:row>
      <xdr:rowOff>187280</xdr:rowOff>
    </xdr:from>
    <xdr:to>
      <xdr:col>8</xdr:col>
      <xdr:colOff>3283</xdr:colOff>
      <xdr:row>22</xdr:row>
      <xdr:rowOff>190105</xdr:rowOff>
    </xdr:to>
    <xdr:sp macro="" textlink="">
      <xdr:nvSpPr>
        <xdr:cNvPr id="5" name="Rechthoek 4">
          <a:extLst>
            <a:ext uri="{FF2B5EF4-FFF2-40B4-BE49-F238E27FC236}">
              <a16:creationId xmlns:a16="http://schemas.microsoft.com/office/drawing/2014/main" id="{00000000-0008-0000-0100-000005000000}"/>
            </a:ext>
          </a:extLst>
        </xdr:cNvPr>
        <xdr:cNvSpPr/>
      </xdr:nvSpPr>
      <xdr:spPr>
        <a:xfrm>
          <a:off x="3088218" y="3341113"/>
          <a:ext cx="1825732" cy="764825"/>
        </a:xfrm>
        <a:prstGeom prst="rect">
          <a:avLst/>
        </a:prstGeom>
        <a:solidFill>
          <a:srgbClr val="E5007D"/>
        </a:solidFill>
        <a:ln w="38100" cap="flat" cmpd="sng" algn="ctr">
          <a:solidFill>
            <a:srgbClr val="5F1F7A"/>
          </a:solidFill>
          <a:prstDash val="solid"/>
        </a:ln>
        <a:effectLst>
          <a:outerShdw blurRad="40000" dist="20000" dir="5400000" rotWithShape="0">
            <a:srgbClr val="000000">
              <a:alpha val="38000"/>
            </a:srgbClr>
          </a:outerShdw>
        </a:effectLst>
      </xdr:spPr>
      <xdr:txBody>
        <a:bodyPr vertOverflow="clip" horzOverflow="clip" rtlCol="0" anchor="b"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a:ln>
                <a:noFill/>
              </a:ln>
              <a:solidFill>
                <a:srgbClr val="FFFFFF"/>
              </a:solidFill>
              <a:effectLst/>
              <a:uLnTx/>
              <a:uFillTx/>
              <a:latin typeface="Arial"/>
              <a:ea typeface="+mn-ea"/>
              <a:cs typeface="+mn-cs"/>
            </a:rPr>
            <a:t>Totale inkomsten 2022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800" b="1" i="0" u="none" strike="noStrike" kern="0" cap="none" spc="0" normalizeH="0" baseline="0">
              <a:ln>
                <a:noFill/>
              </a:ln>
              <a:solidFill>
                <a:srgbClr val="FFFFFF"/>
              </a:solidFill>
              <a:effectLst/>
              <a:uLnTx/>
              <a:uFillTx/>
              <a:latin typeface="Arial"/>
              <a:ea typeface="+mn-ea"/>
              <a:cs typeface="+mn-cs"/>
            </a:rPr>
            <a:t>(dit bestand)</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rgbClr val="FFFFFF"/>
            </a:solidFill>
            <a:effectLst/>
            <a:uLnTx/>
            <a:uFillTx/>
            <a:latin typeface="Arial"/>
            <a:ea typeface="+mn-ea"/>
            <a:cs typeface="+mn-cs"/>
          </a:endParaRPr>
        </a:p>
      </xdr:txBody>
    </xdr:sp>
    <xdr:clientData/>
  </xdr:twoCellAnchor>
  <xdr:twoCellAnchor>
    <xdr:from>
      <xdr:col>3</xdr:col>
      <xdr:colOff>549007</xdr:colOff>
      <xdr:row>20</xdr:row>
      <xdr:rowOff>188693</xdr:rowOff>
    </xdr:from>
    <xdr:to>
      <xdr:col>5</xdr:col>
      <xdr:colOff>19051</xdr:colOff>
      <xdr:row>21</xdr:row>
      <xdr:rowOff>12620</xdr:rowOff>
    </xdr:to>
    <xdr:cxnSp macro="">
      <xdr:nvCxnSpPr>
        <xdr:cNvPr id="8" name="Rechte verbindingslijn met pijl 7">
          <a:extLst>
            <a:ext uri="{FF2B5EF4-FFF2-40B4-BE49-F238E27FC236}">
              <a16:creationId xmlns:a16="http://schemas.microsoft.com/office/drawing/2014/main" id="{00000000-0008-0000-0100-000008000000}"/>
            </a:ext>
          </a:extLst>
        </xdr:cNvPr>
        <xdr:cNvCxnSpPr>
          <a:stCxn id="14" idx="3"/>
          <a:endCxn id="5" idx="1"/>
        </xdr:cNvCxnSpPr>
      </xdr:nvCxnSpPr>
      <xdr:spPr>
        <a:xfrm flipV="1">
          <a:off x="2390507" y="3723526"/>
          <a:ext cx="697711" cy="14427"/>
        </a:xfrm>
        <a:prstGeom prst="straightConnector1">
          <a:avLst/>
        </a:prstGeom>
        <a:noFill/>
        <a:ln w="19050" cap="flat" cmpd="sng" algn="ctr">
          <a:solidFill>
            <a:srgbClr val="5F1F7A"/>
          </a:solidFill>
          <a:prstDash val="solid"/>
          <a:tailEnd type="arrow"/>
        </a:ln>
        <a:effectLst/>
      </xdr:spPr>
    </xdr:cxnSp>
    <xdr:clientData/>
  </xdr:twoCellAnchor>
  <xdr:twoCellAnchor>
    <xdr:from>
      <xdr:col>8</xdr:col>
      <xdr:colOff>3283</xdr:colOff>
      <xdr:row>20</xdr:row>
      <xdr:rowOff>188693</xdr:rowOff>
    </xdr:from>
    <xdr:to>
      <xdr:col>9</xdr:col>
      <xdr:colOff>146850</xdr:colOff>
      <xdr:row>21</xdr:row>
      <xdr:rowOff>9417</xdr:rowOff>
    </xdr:to>
    <xdr:cxnSp macro="">
      <xdr:nvCxnSpPr>
        <xdr:cNvPr id="9" name="Rechte verbindingslijn met pijl 8">
          <a:extLst>
            <a:ext uri="{FF2B5EF4-FFF2-40B4-BE49-F238E27FC236}">
              <a16:creationId xmlns:a16="http://schemas.microsoft.com/office/drawing/2014/main" id="{00000000-0008-0000-0100-000009000000}"/>
            </a:ext>
          </a:extLst>
        </xdr:cNvPr>
        <xdr:cNvCxnSpPr>
          <a:stCxn id="5" idx="3"/>
          <a:endCxn id="2" idx="1"/>
        </xdr:cNvCxnSpPr>
      </xdr:nvCxnSpPr>
      <xdr:spPr>
        <a:xfrm>
          <a:off x="4913950" y="3723526"/>
          <a:ext cx="757400" cy="11224"/>
        </a:xfrm>
        <a:prstGeom prst="straightConnector1">
          <a:avLst/>
        </a:prstGeom>
        <a:noFill/>
        <a:ln w="19050" cap="flat" cmpd="sng" algn="ctr">
          <a:solidFill>
            <a:srgbClr val="5F1F7A"/>
          </a:solidFill>
          <a:prstDash val="solid"/>
          <a:tailEnd type="arrow"/>
        </a:ln>
        <a:effectLst/>
      </xdr:spPr>
    </xdr:cxnSp>
    <xdr:clientData/>
  </xdr:twoCellAnchor>
  <xdr:twoCellAnchor>
    <xdr:from>
      <xdr:col>0</xdr:col>
      <xdr:colOff>179293</xdr:colOff>
      <xdr:row>19</xdr:row>
      <xdr:rowOff>33620</xdr:rowOff>
    </xdr:from>
    <xdr:to>
      <xdr:col>3</xdr:col>
      <xdr:colOff>549007</xdr:colOff>
      <xdr:row>22</xdr:row>
      <xdr:rowOff>182120</xdr:rowOff>
    </xdr:to>
    <xdr:sp macro="" textlink="">
      <xdr:nvSpPr>
        <xdr:cNvPr id="14" name="Rechthoek 13">
          <a:extLst>
            <a:ext uri="{FF2B5EF4-FFF2-40B4-BE49-F238E27FC236}">
              <a16:creationId xmlns:a16="http://schemas.microsoft.com/office/drawing/2014/main" id="{00000000-0008-0000-0100-00000E000000}"/>
            </a:ext>
          </a:extLst>
        </xdr:cNvPr>
        <xdr:cNvSpPr/>
      </xdr:nvSpPr>
      <xdr:spPr>
        <a:xfrm>
          <a:off x="179293" y="3424520"/>
          <a:ext cx="1817514" cy="720000"/>
        </a:xfrm>
        <a:prstGeom prst="rect">
          <a:avLst/>
        </a:prstGeom>
        <a:solidFill>
          <a:srgbClr val="007FAE"/>
        </a:solidFill>
        <a:ln w="222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x-factormodel</a:t>
          </a:r>
          <a:endParaRPr kumimoji="0" lang="nl-NL" sz="1100" b="0" i="0" u="none" strike="noStrike" kern="0" cap="none" spc="0" normalizeH="0" baseline="0" noProof="0">
            <a:ln>
              <a:noFill/>
            </a:ln>
            <a:solidFill>
              <a:srgbClr val="5F1F7A"/>
            </a:solidFill>
            <a:effectLst/>
            <a:uLnTx/>
            <a:uFillTx/>
            <a:latin typeface="Arial"/>
            <a:ea typeface="+mn-ea"/>
            <a:cs typeface="+mn-cs"/>
          </a:endParaRPr>
        </a:p>
      </xdr:txBody>
    </xdr:sp>
    <xdr:clientData/>
  </xdr:twoCellAnchor>
  <xdr:twoCellAnchor>
    <xdr:from>
      <xdr:col>5</xdr:col>
      <xdr:colOff>22410</xdr:colOff>
      <xdr:row>11</xdr:row>
      <xdr:rowOff>78441</xdr:rowOff>
    </xdr:from>
    <xdr:to>
      <xdr:col>7</xdr:col>
      <xdr:colOff>635292</xdr:colOff>
      <xdr:row>15</xdr:row>
      <xdr:rowOff>81265</xdr:rowOff>
    </xdr:to>
    <xdr:sp macro="" textlink="">
      <xdr:nvSpPr>
        <xdr:cNvPr id="15" name="Stroomdiagram: Proces 14">
          <a:extLst>
            <a:ext uri="{FF2B5EF4-FFF2-40B4-BE49-F238E27FC236}">
              <a16:creationId xmlns:a16="http://schemas.microsoft.com/office/drawing/2014/main" id="{00000000-0008-0000-0100-00000F000000}"/>
            </a:ext>
          </a:extLst>
        </xdr:cNvPr>
        <xdr:cNvSpPr/>
      </xdr:nvSpPr>
      <xdr:spPr>
        <a:xfrm>
          <a:off x="2689410" y="1945341"/>
          <a:ext cx="1803507" cy="764824"/>
        </a:xfrm>
        <a:prstGeom prst="flowChartProcess">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Input nacalculaties</a:t>
          </a:r>
        </a:p>
      </xdr:txBody>
    </xdr:sp>
    <xdr:clientData/>
  </xdr:twoCellAnchor>
  <xdr:twoCellAnchor>
    <xdr:from>
      <xdr:col>6</xdr:col>
      <xdr:colOff>314564</xdr:colOff>
      <xdr:row>15</xdr:row>
      <xdr:rowOff>81265</xdr:rowOff>
    </xdr:from>
    <xdr:to>
      <xdr:col>6</xdr:col>
      <xdr:colOff>318084</xdr:colOff>
      <xdr:row>18</xdr:row>
      <xdr:rowOff>187280</xdr:rowOff>
    </xdr:to>
    <xdr:cxnSp macro="">
      <xdr:nvCxnSpPr>
        <xdr:cNvPr id="16" name="Rechte verbindingslijn met pijl 15">
          <a:extLst>
            <a:ext uri="{FF2B5EF4-FFF2-40B4-BE49-F238E27FC236}">
              <a16:creationId xmlns:a16="http://schemas.microsoft.com/office/drawing/2014/main" id="{00000000-0008-0000-0100-000010000000}"/>
            </a:ext>
          </a:extLst>
        </xdr:cNvPr>
        <xdr:cNvCxnSpPr>
          <a:stCxn id="15" idx="2"/>
          <a:endCxn id="5" idx="0"/>
        </xdr:cNvCxnSpPr>
      </xdr:nvCxnSpPr>
      <xdr:spPr>
        <a:xfrm>
          <a:off x="3997564" y="2663598"/>
          <a:ext cx="3520" cy="677515"/>
        </a:xfrm>
        <a:prstGeom prst="straightConnector1">
          <a:avLst/>
        </a:prstGeom>
        <a:noFill/>
        <a:ln w="19050" cap="flat" cmpd="sng" algn="ctr">
          <a:solidFill>
            <a:srgbClr val="5F1F7A"/>
          </a:solidFill>
          <a:prstDash val="solid"/>
          <a:tailEnd type="arrow"/>
        </a:ln>
        <a:effectLst/>
      </xdr:spPr>
    </xdr:cxn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hyperlink" Target="https://opendata.cbs.nl/" TargetMode="External"/><Relationship Id="rId7" Type="http://schemas.openxmlformats.org/officeDocument/2006/relationships/printerSettings" Target="../printerSettings/printerSettings3.bin"/><Relationship Id="rId2" Type="http://schemas.openxmlformats.org/officeDocument/2006/relationships/hyperlink" Target="https://www.acm.nl/nl/publicaties/x-factorberekening-regionale-netbeheerders-gas-2021-2026" TargetMode="External"/><Relationship Id="rId1" Type="http://schemas.openxmlformats.org/officeDocument/2006/relationships/hyperlink" Target="https://www.acm.nl/nl/publicaties/berekening-x-factor-bij-gewijzigde-x-factorbesluiten-gas-2017-2021" TargetMode="External"/><Relationship Id="rId6" Type="http://schemas.openxmlformats.org/officeDocument/2006/relationships/hyperlink" Target="https://www.rendonetwerken.nl/" TargetMode="External"/><Relationship Id="rId5" Type="http://schemas.openxmlformats.org/officeDocument/2006/relationships/hyperlink" Target="https://www.dnb.nl/statistieken/data-zoeken/" TargetMode="External"/><Relationship Id="rId4" Type="http://schemas.openxmlformats.org/officeDocument/2006/relationships/hyperlink" Target="https://www.acm.nl/nl/publicaties/tarievenbesluit-rendo-gas-2020"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C8D9"/>
  </sheetPr>
  <dimension ref="A2:D35"/>
  <sheetViews>
    <sheetView showGridLines="0" tabSelected="1" zoomScale="85" zoomScaleNormal="85" workbookViewId="0">
      <pane ySplit="3" topLeftCell="A4" activePane="bottomLeft" state="frozen"/>
      <selection activeCell="A4" sqref="A4"/>
      <selection pane="bottomLeft" activeCell="A4" sqref="A4"/>
    </sheetView>
  </sheetViews>
  <sheetFormatPr defaultRowHeight="12.75" x14ac:dyDescent="0.25"/>
  <cols>
    <col min="1" max="1" width="2.85546875" style="2" customWidth="1"/>
    <col min="2" max="2" width="39.85546875" style="2" customWidth="1"/>
    <col min="3" max="3" width="91.85546875" style="2" customWidth="1"/>
    <col min="4" max="16384" width="9.140625" style="2"/>
  </cols>
  <sheetData>
    <row r="2" spans="1:3" s="13" customFormat="1" ht="18" x14ac:dyDescent="0.25">
      <c r="B2" s="12" t="s">
        <v>214</v>
      </c>
    </row>
    <row r="6" spans="1:3" x14ac:dyDescent="0.25">
      <c r="B6" s="3"/>
    </row>
    <row r="13" spans="1:3" s="8" customFormat="1" x14ac:dyDescent="0.25">
      <c r="B13" s="8" t="s">
        <v>0</v>
      </c>
    </row>
    <row r="14" spans="1:3" s="9" customFormat="1" x14ac:dyDescent="0.25"/>
    <row r="15" spans="1:3" x14ac:dyDescent="0.25">
      <c r="A15" s="9"/>
      <c r="B15" s="10" t="s">
        <v>1</v>
      </c>
      <c r="C15" s="172"/>
    </row>
    <row r="16" spans="1:3" x14ac:dyDescent="0.25">
      <c r="B16" s="10" t="s">
        <v>2</v>
      </c>
      <c r="C16" s="11" t="s">
        <v>214</v>
      </c>
    </row>
    <row r="17" spans="2:3" x14ac:dyDescent="0.25">
      <c r="B17" s="10" t="s">
        <v>3</v>
      </c>
      <c r="C17" s="11"/>
    </row>
    <row r="18" spans="2:3" x14ac:dyDescent="0.25">
      <c r="B18" s="10" t="s">
        <v>4</v>
      </c>
      <c r="C18" s="11" t="s">
        <v>215</v>
      </c>
    </row>
    <row r="19" spans="2:3" x14ac:dyDescent="0.25">
      <c r="B19" s="10" t="s">
        <v>5</v>
      </c>
      <c r="C19" s="11"/>
    </row>
    <row r="20" spans="2:3" x14ac:dyDescent="0.25">
      <c r="B20" s="10" t="s">
        <v>6</v>
      </c>
      <c r="C20" s="11"/>
    </row>
    <row r="21" spans="2:3" x14ac:dyDescent="0.25">
      <c r="B21" s="10" t="s">
        <v>7</v>
      </c>
      <c r="C21" s="11" t="s">
        <v>216</v>
      </c>
    </row>
    <row r="22" spans="2:3" x14ac:dyDescent="0.25">
      <c r="B22" s="10" t="s">
        <v>8</v>
      </c>
      <c r="C22" s="11"/>
    </row>
    <row r="25" spans="2:3" s="8" customFormat="1" x14ac:dyDescent="0.25">
      <c r="B25" s="8" t="s">
        <v>9</v>
      </c>
    </row>
    <row r="27" spans="2:3" x14ac:dyDescent="0.25">
      <c r="B27" s="10" t="s">
        <v>10</v>
      </c>
      <c r="C27" s="11" t="s">
        <v>361</v>
      </c>
    </row>
    <row r="28" spans="2:3" x14ac:dyDescent="0.25">
      <c r="B28" s="10" t="s">
        <v>11</v>
      </c>
      <c r="C28" s="11" t="s">
        <v>361</v>
      </c>
    </row>
    <row r="29" spans="2:3" ht="25.5" x14ac:dyDescent="0.25">
      <c r="B29" s="10" t="s">
        <v>12</v>
      </c>
      <c r="C29" s="11" t="s">
        <v>361</v>
      </c>
    </row>
    <row r="30" spans="2:3" x14ac:dyDescent="0.25">
      <c r="B30" s="10" t="s">
        <v>13</v>
      </c>
      <c r="C30" s="11"/>
    </row>
    <row r="31" spans="2:3" x14ac:dyDescent="0.25">
      <c r="B31" s="10" t="s">
        <v>8</v>
      </c>
      <c r="C31" s="11"/>
    </row>
    <row r="33" spans="2:4" x14ac:dyDescent="0.25">
      <c r="B33" s="35"/>
      <c r="C33" s="35"/>
      <c r="D33" s="6"/>
    </row>
    <row r="35" spans="2:4" s="8" customFormat="1" x14ac:dyDescent="0.25">
      <c r="B35" s="8" t="s">
        <v>14</v>
      </c>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CFFCC"/>
  </sheetPr>
  <dimension ref="A1:V36"/>
  <sheetViews>
    <sheetView showGridLines="0" zoomScale="85" zoomScaleNormal="85" workbookViewId="0">
      <pane xSplit="6" ySplit="15" topLeftCell="G16" activePane="bottomRight" state="frozen"/>
      <selection activeCell="Q51" sqref="Q51"/>
      <selection pane="topRight" activeCell="Q51" sqref="Q51"/>
      <selection pane="bottomLeft" activeCell="Q51" sqref="Q51"/>
      <selection pane="bottomRight" activeCell="G16" sqref="G16"/>
    </sheetView>
  </sheetViews>
  <sheetFormatPr defaultRowHeight="12.75" customHeight="1" x14ac:dyDescent="0.25"/>
  <cols>
    <col min="1" max="1" width="4" style="2" customWidth="1"/>
    <col min="2" max="2" width="41.42578125"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7" width="12.5703125" style="43" customWidth="1"/>
    <col min="18" max="19" width="2.7109375" style="2" customWidth="1"/>
    <col min="20" max="20" width="13.7109375" style="2" customWidth="1"/>
    <col min="21" max="21" width="2.7109375" style="2" customWidth="1"/>
    <col min="22" max="35" width="13.7109375" style="2" customWidth="1"/>
    <col min="36" max="16384" width="9.140625" style="2"/>
  </cols>
  <sheetData>
    <row r="1" spans="1:22" ht="12.75" customHeight="1" x14ac:dyDescent="0.25">
      <c r="A1" s="9"/>
    </row>
    <row r="2" spans="1:22" s="25" customFormat="1" ht="18" x14ac:dyDescent="0.25">
      <c r="B2" s="25" t="s">
        <v>187</v>
      </c>
      <c r="L2" s="42"/>
      <c r="M2" s="42"/>
      <c r="N2" s="42"/>
      <c r="O2" s="42"/>
      <c r="P2" s="42"/>
      <c r="Q2" s="42"/>
    </row>
    <row r="4" spans="1:22" ht="12.75" customHeight="1" x14ac:dyDescent="0.25">
      <c r="B4" s="1" t="s">
        <v>188</v>
      </c>
      <c r="C4" s="1"/>
      <c r="D4" s="1"/>
      <c r="J4" s="36"/>
    </row>
    <row r="5" spans="1:22" ht="12.75" customHeight="1" x14ac:dyDescent="0.2">
      <c r="B5" s="38" t="s">
        <v>161</v>
      </c>
      <c r="C5" s="3"/>
      <c r="D5" s="3"/>
      <c r="H5" s="26"/>
    </row>
    <row r="6" spans="1:22" ht="12.75" customHeight="1" x14ac:dyDescent="0.2">
      <c r="B6" s="154" t="s">
        <v>274</v>
      </c>
      <c r="C6" s="3"/>
      <c r="D6" s="3"/>
      <c r="H6" s="26"/>
    </row>
    <row r="7" spans="1:22" ht="12.75" customHeight="1" x14ac:dyDescent="0.2">
      <c r="B7" s="154" t="s">
        <v>275</v>
      </c>
      <c r="C7" s="3"/>
      <c r="D7" s="3"/>
      <c r="H7" s="26"/>
    </row>
    <row r="8" spans="1:22" ht="12.75" customHeight="1" x14ac:dyDescent="0.2">
      <c r="B8" s="83" t="s">
        <v>162</v>
      </c>
      <c r="C8" s="3"/>
      <c r="D8" s="3"/>
      <c r="H8" s="26"/>
    </row>
    <row r="9" spans="1:22" ht="12.75" customHeight="1" x14ac:dyDescent="0.2">
      <c r="B9" s="83" t="s">
        <v>163</v>
      </c>
      <c r="C9" s="3"/>
      <c r="D9" s="3"/>
      <c r="H9" s="26"/>
    </row>
    <row r="10" spans="1:22" ht="12.75" customHeight="1" x14ac:dyDescent="0.2">
      <c r="B10" s="155" t="s">
        <v>276</v>
      </c>
      <c r="C10" s="3"/>
      <c r="D10" s="3"/>
      <c r="H10" s="26"/>
    </row>
    <row r="11" spans="1:22" s="38" customFormat="1" ht="12.75" customHeight="1" x14ac:dyDescent="0.2">
      <c r="B11" s="139" t="s">
        <v>277</v>
      </c>
    </row>
    <row r="12" spans="1:22" s="38" customFormat="1" ht="12.75" customHeight="1" x14ac:dyDescent="0.2">
      <c r="B12" s="155" t="s">
        <v>278</v>
      </c>
    </row>
    <row r="14" spans="1:22" s="8" customFormat="1" ht="12.75" customHeight="1" x14ac:dyDescent="0.25">
      <c r="B14" s="8" t="s">
        <v>46</v>
      </c>
      <c r="F14" s="8" t="s">
        <v>28</v>
      </c>
      <c r="H14" s="8" t="s">
        <v>29</v>
      </c>
      <c r="J14" s="8" t="s">
        <v>50</v>
      </c>
      <c r="L14" s="44" t="s">
        <v>151</v>
      </c>
      <c r="M14" s="44" t="s">
        <v>66</v>
      </c>
      <c r="N14" s="44" t="s">
        <v>67</v>
      </c>
      <c r="O14" s="44" t="s">
        <v>68</v>
      </c>
      <c r="P14" s="44" t="s">
        <v>69</v>
      </c>
      <c r="Q14" s="44" t="s">
        <v>70</v>
      </c>
      <c r="T14" s="8" t="s">
        <v>47</v>
      </c>
      <c r="V14" s="8" t="s">
        <v>48</v>
      </c>
    </row>
    <row r="16" spans="1:22" x14ac:dyDescent="0.25">
      <c r="L16" s="2"/>
      <c r="M16" s="2"/>
      <c r="N16" s="2"/>
      <c r="O16" s="2"/>
      <c r="P16" s="2"/>
      <c r="Q16" s="2"/>
    </row>
    <row r="17" spans="2:20" s="8" customFormat="1" x14ac:dyDescent="0.25">
      <c r="B17" s="8" t="s">
        <v>201</v>
      </c>
    </row>
    <row r="19" spans="2:20" ht="12.75" customHeight="1" x14ac:dyDescent="0.25">
      <c r="B19" s="2" t="s">
        <v>279</v>
      </c>
      <c r="F19" s="2" t="s">
        <v>157</v>
      </c>
      <c r="L19" s="129">
        <v>769242.18</v>
      </c>
      <c r="M19" s="129">
        <v>15016039.463333836</v>
      </c>
      <c r="N19" s="129">
        <v>14569319.921730017</v>
      </c>
      <c r="O19" s="129">
        <v>467099.73</v>
      </c>
      <c r="P19" s="129">
        <v>18469509.922668725</v>
      </c>
      <c r="Q19" s="129">
        <v>843720.79000000015</v>
      </c>
      <c r="T19" s="9" t="s">
        <v>353</v>
      </c>
    </row>
    <row r="20" spans="2:20" ht="12.75" customHeight="1" x14ac:dyDescent="0.25">
      <c r="B20" s="2" t="s">
        <v>280</v>
      </c>
      <c r="F20" s="2" t="s">
        <v>156</v>
      </c>
      <c r="L20" s="129">
        <v>861614.67</v>
      </c>
      <c r="M20" s="129">
        <v>11062617.670001786</v>
      </c>
      <c r="N20" s="129">
        <v>14310881.359999999</v>
      </c>
      <c r="O20" s="129">
        <v>410165.5</v>
      </c>
      <c r="P20" s="129">
        <v>12631235.475707857</v>
      </c>
      <c r="Q20" s="129">
        <v>1079167.51</v>
      </c>
      <c r="T20" s="9" t="s">
        <v>354</v>
      </c>
    </row>
    <row r="21" spans="2:20" ht="12.75" customHeight="1" x14ac:dyDescent="0.25">
      <c r="B21" s="2" t="s">
        <v>281</v>
      </c>
      <c r="F21" s="2" t="s">
        <v>181</v>
      </c>
      <c r="L21" s="129">
        <v>411570.22000000003</v>
      </c>
      <c r="M21" s="129">
        <v>6661906.4299997473</v>
      </c>
      <c r="N21" s="129">
        <v>9287762.9469170291</v>
      </c>
      <c r="O21" s="129">
        <v>194478.21000000002</v>
      </c>
      <c r="P21" s="129">
        <v>5870595.3378073797</v>
      </c>
      <c r="Q21" s="129">
        <v>673511.5</v>
      </c>
      <c r="T21" s="9" t="s">
        <v>355</v>
      </c>
    </row>
    <row r="22" spans="2:20" ht="12.75" customHeight="1" x14ac:dyDescent="0.25">
      <c r="T22" s="9"/>
    </row>
    <row r="23" spans="2:20" ht="12.75" customHeight="1" x14ac:dyDescent="0.25">
      <c r="B23" s="2" t="s">
        <v>345</v>
      </c>
      <c r="F23" s="2" t="s">
        <v>127</v>
      </c>
      <c r="H23" s="130">
        <v>2.5441281586564557E-3</v>
      </c>
      <c r="T23" s="9" t="s">
        <v>349</v>
      </c>
    </row>
    <row r="24" spans="2:20" ht="12.75" customHeight="1" x14ac:dyDescent="0.25">
      <c r="B24" s="2" t="s">
        <v>346</v>
      </c>
      <c r="H24" s="130">
        <v>-3.1175556579387642E-2</v>
      </c>
      <c r="T24" s="9" t="s">
        <v>350</v>
      </c>
    </row>
    <row r="25" spans="2:20" ht="12.75" customHeight="1" x14ac:dyDescent="0.25">
      <c r="H25" s="163"/>
      <c r="T25" s="9"/>
    </row>
    <row r="26" spans="2:20" ht="12.75" customHeight="1" x14ac:dyDescent="0.25">
      <c r="B26" s="2" t="s">
        <v>322</v>
      </c>
      <c r="F26" s="2" t="s">
        <v>127</v>
      </c>
      <c r="H26" s="130">
        <v>1.7999999999999999E-2</v>
      </c>
      <c r="T26" s="9" t="s">
        <v>351</v>
      </c>
    </row>
    <row r="27" spans="2:20" ht="12.75" customHeight="1" x14ac:dyDescent="0.25">
      <c r="T27" s="9"/>
    </row>
    <row r="28" spans="2:20" ht="12.75" customHeight="1" x14ac:dyDescent="0.25">
      <c r="B28" s="2" t="s">
        <v>302</v>
      </c>
      <c r="F28" s="2" t="s">
        <v>192</v>
      </c>
      <c r="L28" s="129">
        <v>5366761.6094966186</v>
      </c>
      <c r="M28" s="129">
        <v>87846873.936846554</v>
      </c>
      <c r="N28" s="129">
        <v>99159430.212113366</v>
      </c>
      <c r="O28" s="129">
        <v>3897615.7385375402</v>
      </c>
      <c r="P28" s="129">
        <v>77383281.346611738</v>
      </c>
      <c r="Q28" s="129">
        <v>3574209.1692982111</v>
      </c>
      <c r="T28" s="9" t="s">
        <v>347</v>
      </c>
    </row>
    <row r="29" spans="2:20" ht="12.75" customHeight="1" x14ac:dyDescent="0.25">
      <c r="B29" s="2" t="s">
        <v>283</v>
      </c>
      <c r="F29" s="2" t="s">
        <v>284</v>
      </c>
      <c r="L29" s="129">
        <v>6213887.0325115314</v>
      </c>
      <c r="M29" s="129">
        <v>101713210.03655435</v>
      </c>
      <c r="N29" s="129">
        <v>114811415.59482783</v>
      </c>
      <c r="O29" s="129">
        <v>4512841.3851203192</v>
      </c>
      <c r="P29" s="129">
        <v>89597974.249876201</v>
      </c>
      <c r="Q29" s="129">
        <v>4138386.167420832</v>
      </c>
      <c r="T29" s="9" t="s">
        <v>348</v>
      </c>
    </row>
    <row r="30" spans="2:20" ht="12.75" customHeight="1" x14ac:dyDescent="0.25">
      <c r="T30" s="9"/>
    </row>
    <row r="31" spans="2:20" ht="12.75" customHeight="1" x14ac:dyDescent="0.25">
      <c r="B31" s="2" t="s">
        <v>303</v>
      </c>
      <c r="F31" s="2" t="s">
        <v>192</v>
      </c>
      <c r="H31" s="129">
        <v>24119144.337028138</v>
      </c>
      <c r="T31" s="9" t="s">
        <v>352</v>
      </c>
    </row>
    <row r="33" spans="2:20" s="8" customFormat="1" x14ac:dyDescent="0.25">
      <c r="B33" s="8" t="s">
        <v>202</v>
      </c>
    </row>
    <row r="35" spans="2:20" ht="12.75" customHeight="1" x14ac:dyDescent="0.25">
      <c r="B35" s="2" t="s">
        <v>304</v>
      </c>
      <c r="F35" s="2" t="s">
        <v>192</v>
      </c>
      <c r="J35" s="167"/>
      <c r="L35" s="129">
        <v>16933417.709129997</v>
      </c>
      <c r="M35" s="129">
        <v>275840690.88902247</v>
      </c>
      <c r="N35" s="129">
        <v>295221517.93003929</v>
      </c>
      <c r="O35" s="129">
        <v>12440091.999540709</v>
      </c>
      <c r="P35" s="129">
        <v>243278159.56289276</v>
      </c>
      <c r="Q35" s="129">
        <v>15387511.108654488</v>
      </c>
      <c r="T35" s="9" t="s">
        <v>356</v>
      </c>
    </row>
    <row r="36" spans="2:20" ht="12.75" customHeight="1" x14ac:dyDescent="0.25">
      <c r="B36" s="2" t="s">
        <v>285</v>
      </c>
      <c r="F36" s="2" t="s">
        <v>284</v>
      </c>
      <c r="J36" s="167"/>
      <c r="L36" s="129">
        <v>15736099.986676268</v>
      </c>
      <c r="M36" s="129">
        <v>256463736.29915431</v>
      </c>
      <c r="N36" s="129">
        <v>274468729.11249799</v>
      </c>
      <c r="O36" s="129">
        <v>11564759.554851262</v>
      </c>
      <c r="P36" s="129">
        <v>226183478.42174256</v>
      </c>
      <c r="Q36" s="129">
        <v>14353071.067403972</v>
      </c>
      <c r="T36" s="9" t="s">
        <v>357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4.9989318521683403E-2"/>
  </sheetPr>
  <dimension ref="A1"/>
  <sheetViews>
    <sheetView showGridLines="0" zoomScale="85" zoomScaleNormal="85" workbookViewId="0"/>
  </sheetViews>
  <sheetFormatPr defaultRowHeight="12.75" x14ac:dyDescent="0.25"/>
  <cols>
    <col min="1" max="16384" width="9.140625" style="30"/>
  </cols>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CC"/>
  </sheetPr>
  <dimension ref="A2:V31"/>
  <sheetViews>
    <sheetView showGridLines="0" zoomScale="85" zoomScaleNormal="85" workbookViewId="0">
      <pane xSplit="6" ySplit="9" topLeftCell="G10" activePane="bottomRight" state="frozen"/>
      <selection activeCell="A4" sqref="A4"/>
      <selection pane="topRight" activeCell="A4" sqref="A4"/>
      <selection pane="bottomLeft" activeCell="A4" sqref="A4"/>
      <selection pane="bottomRight" activeCell="G10" sqref="G10"/>
    </sheetView>
  </sheetViews>
  <sheetFormatPr defaultRowHeight="12.75" x14ac:dyDescent="0.25"/>
  <cols>
    <col min="1" max="1" width="4" style="2" customWidth="1"/>
    <col min="2" max="2" width="48"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8" width="12.5703125" style="2" customWidth="1"/>
    <col min="19" max="19" width="2.7109375" style="2" customWidth="1"/>
    <col min="20" max="20" width="25.5703125" style="2" customWidth="1"/>
    <col min="21" max="21" width="3.140625" style="2" customWidth="1"/>
    <col min="22" max="22" width="18" style="2" customWidth="1"/>
    <col min="23" max="35" width="13.7109375" style="2" customWidth="1"/>
    <col min="36" max="16384" width="9.140625" style="2"/>
  </cols>
  <sheetData>
    <row r="2" spans="1:22" s="25" customFormat="1" ht="18" x14ac:dyDescent="0.25">
      <c r="B2" s="25" t="s">
        <v>141</v>
      </c>
    </row>
    <row r="4" spans="1:22" x14ac:dyDescent="0.25">
      <c r="B4" s="1" t="s">
        <v>59</v>
      </c>
      <c r="C4" s="1"/>
      <c r="D4" s="1"/>
    </row>
    <row r="5" spans="1:22" x14ac:dyDescent="0.25">
      <c r="A5" s="9"/>
      <c r="B5" s="32" t="s">
        <v>174</v>
      </c>
      <c r="C5" s="32"/>
      <c r="D5" s="32"/>
      <c r="H5" s="26"/>
    </row>
    <row r="6" spans="1:22" x14ac:dyDescent="0.25">
      <c r="B6" s="32" t="s">
        <v>179</v>
      </c>
      <c r="C6" s="32"/>
      <c r="D6" s="32"/>
      <c r="H6" s="26"/>
    </row>
    <row r="8" spans="1:22" s="8" customFormat="1" x14ac:dyDescent="0.25">
      <c r="B8" s="8" t="s">
        <v>46</v>
      </c>
      <c r="F8" s="8" t="s">
        <v>28</v>
      </c>
      <c r="H8" s="8" t="s">
        <v>29</v>
      </c>
      <c r="J8" s="8" t="s">
        <v>50</v>
      </c>
      <c r="L8" s="105">
        <v>2016</v>
      </c>
      <c r="M8" s="105">
        <v>2017</v>
      </c>
      <c r="N8" s="105">
        <v>2018</v>
      </c>
      <c r="O8" s="105">
        <v>2019</v>
      </c>
      <c r="P8" s="105">
        <v>2020</v>
      </c>
      <c r="Q8" s="105">
        <v>2021</v>
      </c>
      <c r="R8" s="105">
        <v>2022</v>
      </c>
      <c r="S8" s="119"/>
      <c r="T8" s="8" t="s">
        <v>47</v>
      </c>
      <c r="V8" s="8" t="s">
        <v>48</v>
      </c>
    </row>
    <row r="11" spans="1:22" s="8" customFormat="1" x14ac:dyDescent="0.25">
      <c r="B11" s="8" t="s">
        <v>49</v>
      </c>
    </row>
    <row r="13" spans="1:22" x14ac:dyDescent="0.25">
      <c r="B13" s="1" t="s">
        <v>130</v>
      </c>
    </row>
    <row r="14" spans="1:22" x14ac:dyDescent="0.25">
      <c r="B14" s="2" t="s">
        <v>131</v>
      </c>
      <c r="F14" s="2" t="s">
        <v>127</v>
      </c>
      <c r="L14" s="101">
        <f>'Input parameters'!L33</f>
        <v>0.02</v>
      </c>
      <c r="M14" s="101">
        <f>'Input parameters'!M33</f>
        <v>0.02</v>
      </c>
      <c r="N14" s="101">
        <f>'Input parameters'!N33</f>
        <v>0.02</v>
      </c>
      <c r="O14" s="101">
        <f>'Input parameters'!O33</f>
        <v>0.02</v>
      </c>
      <c r="P14" s="101">
        <f>'Input parameters'!P33</f>
        <v>0.02</v>
      </c>
      <c r="Q14" s="101">
        <f>'Input parameters'!Q33</f>
        <v>0.02</v>
      </c>
      <c r="R14" s="101">
        <f>'Input parameters'!R33</f>
        <v>0.02</v>
      </c>
    </row>
    <row r="15" spans="1:22" x14ac:dyDescent="0.25">
      <c r="B15" s="2" t="s">
        <v>132</v>
      </c>
      <c r="F15" s="2" t="s">
        <v>127</v>
      </c>
      <c r="L15" s="101">
        <f>'Input parameters'!L34</f>
        <v>0.02</v>
      </c>
      <c r="M15" s="101">
        <f>'Input parameters'!M34</f>
        <v>0.02</v>
      </c>
      <c r="N15" s="101">
        <f>'Input parameters'!N34</f>
        <v>0.02</v>
      </c>
      <c r="O15" s="101">
        <f>'Input parameters'!O34</f>
        <v>0.02</v>
      </c>
      <c r="P15" s="101">
        <f>'Input parameters'!P34</f>
        <v>0.02</v>
      </c>
      <c r="Q15" s="101">
        <f>'Input parameters'!Q34</f>
        <v>0.02</v>
      </c>
      <c r="R15" s="101">
        <f>'Input parameters'!R34</f>
        <v>0.02</v>
      </c>
    </row>
    <row r="16" spans="1:22" x14ac:dyDescent="0.25">
      <c r="B16" s="2" t="s">
        <v>133</v>
      </c>
      <c r="F16" s="2" t="s">
        <v>127</v>
      </c>
      <c r="L16" s="101">
        <f>'Input parameters'!L35</f>
        <v>0.02</v>
      </c>
      <c r="M16" s="101">
        <f>'Input parameters'!M35</f>
        <v>0.02</v>
      </c>
      <c r="N16" s="101">
        <f>'Input parameters'!N35</f>
        <v>0.02</v>
      </c>
      <c r="O16" s="101">
        <f>'Input parameters'!O35</f>
        <v>0.02</v>
      </c>
      <c r="P16" s="101">
        <f>'Input parameters'!P35</f>
        <v>0.02</v>
      </c>
      <c r="Q16" s="101">
        <f>'Input parameters'!Q35</f>
        <v>0.02</v>
      </c>
    </row>
    <row r="17" spans="2:18" x14ac:dyDescent="0.25">
      <c r="B17" s="2" t="s">
        <v>134</v>
      </c>
      <c r="F17" s="2" t="s">
        <v>127</v>
      </c>
      <c r="L17" s="101">
        <f>'Input parameters'!L36</f>
        <v>0.02</v>
      </c>
      <c r="M17" s="101">
        <f>'Input parameters'!M36</f>
        <v>0.02</v>
      </c>
      <c r="N17" s="101">
        <f>'Input parameters'!N36</f>
        <v>0.02</v>
      </c>
      <c r="O17" s="101">
        <f>'Input parameters'!O36</f>
        <v>0.02</v>
      </c>
      <c r="P17" s="101">
        <f>'Input parameters'!P36</f>
        <v>0.02</v>
      </c>
      <c r="Q17" s="101">
        <f>'Input parameters'!Q36</f>
        <v>0.02</v>
      </c>
    </row>
    <row r="20" spans="2:18" s="8" customFormat="1" x14ac:dyDescent="0.25">
      <c r="B20" s="8" t="s">
        <v>140</v>
      </c>
    </row>
    <row r="22" spans="2:18" x14ac:dyDescent="0.25">
      <c r="B22" s="1" t="s">
        <v>139</v>
      </c>
    </row>
    <row r="23" spans="2:18" x14ac:dyDescent="0.25">
      <c r="B23" s="2" t="s">
        <v>138</v>
      </c>
      <c r="M23" s="103">
        <f t="shared" ref="M23:Q23" si="0">M8</f>
        <v>2017</v>
      </c>
      <c r="N23" s="103">
        <f t="shared" si="0"/>
        <v>2018</v>
      </c>
      <c r="O23" s="103">
        <f t="shared" si="0"/>
        <v>2019</v>
      </c>
      <c r="P23" s="103">
        <f t="shared" si="0"/>
        <v>2020</v>
      </c>
      <c r="Q23" s="103">
        <f t="shared" si="0"/>
        <v>2021</v>
      </c>
      <c r="R23" s="103">
        <f t="shared" ref="R23" si="1">R8</f>
        <v>2022</v>
      </c>
    </row>
    <row r="24" spans="2:18" x14ac:dyDescent="0.25">
      <c r="B24" s="2" t="s">
        <v>137</v>
      </c>
      <c r="F24" s="2" t="s">
        <v>127</v>
      </c>
      <c r="M24" s="102">
        <f t="shared" ref="M24:Q24" si="2">((1+L16)*(1+L17)*(1+M14)*(1+M15))^(1/4)-1</f>
        <v>2.0000000000000018E-2</v>
      </c>
      <c r="N24" s="102">
        <f t="shared" si="2"/>
        <v>2.0000000000000018E-2</v>
      </c>
      <c r="O24" s="102">
        <f t="shared" si="2"/>
        <v>2.0000000000000018E-2</v>
      </c>
      <c r="P24" s="102">
        <f t="shared" si="2"/>
        <v>2.0000000000000018E-2</v>
      </c>
      <c r="Q24" s="102">
        <f t="shared" si="2"/>
        <v>2.0000000000000018E-2</v>
      </c>
      <c r="R24" s="104">
        <f>((1+Q16)*(1+Q17)*(1+R14)*(1+R15))^(1/4)-1</f>
        <v>2.0000000000000018E-2</v>
      </c>
    </row>
    <row r="26" spans="2:18" x14ac:dyDescent="0.25">
      <c r="B26" s="1" t="s">
        <v>136</v>
      </c>
    </row>
    <row r="27" spans="2:18" x14ac:dyDescent="0.25">
      <c r="B27" s="2" t="s">
        <v>135</v>
      </c>
      <c r="F27" s="2" t="s">
        <v>127</v>
      </c>
      <c r="L27" s="19"/>
      <c r="M27" s="19"/>
      <c r="N27" s="101">
        <f>N24</f>
        <v>2.0000000000000018E-2</v>
      </c>
      <c r="O27" s="102">
        <f>(1+N27)*(1+O$24)-1</f>
        <v>4.0399999999999991E-2</v>
      </c>
      <c r="P27" s="102">
        <f>(1+O27)*(1+P$24)-1</f>
        <v>6.1207999999999929E-2</v>
      </c>
      <c r="Q27" s="102">
        <f t="shared" ref="Q27:R28" si="3">(1+P27)*(1+Q$24)-1</f>
        <v>8.2432159999999977E-2</v>
      </c>
      <c r="R27" s="102">
        <f t="shared" si="3"/>
        <v>0.10408080320000002</v>
      </c>
    </row>
    <row r="28" spans="2:18" x14ac:dyDescent="0.25">
      <c r="B28" s="2" t="s">
        <v>175</v>
      </c>
      <c r="F28" s="2" t="s">
        <v>127</v>
      </c>
      <c r="L28" s="19"/>
      <c r="M28" s="19"/>
      <c r="N28" s="19"/>
      <c r="O28" s="101">
        <f>O24</f>
        <v>2.0000000000000018E-2</v>
      </c>
      <c r="P28" s="102">
        <f>(1+O28)*(1+P$24)-1</f>
        <v>4.0399999999999991E-2</v>
      </c>
      <c r="Q28" s="102">
        <f t="shared" si="3"/>
        <v>6.1207999999999929E-2</v>
      </c>
      <c r="R28" s="102">
        <f t="shared" si="3"/>
        <v>8.2432159999999977E-2</v>
      </c>
    </row>
    <row r="29" spans="2:18" x14ac:dyDescent="0.25">
      <c r="B29" s="2" t="s">
        <v>183</v>
      </c>
      <c r="F29" s="2" t="s">
        <v>127</v>
      </c>
      <c r="L29" s="19"/>
      <c r="M29" s="19"/>
      <c r="N29" s="19"/>
      <c r="O29" s="19"/>
      <c r="P29" s="101">
        <f>P24</f>
        <v>2.0000000000000018E-2</v>
      </c>
      <c r="Q29" s="102">
        <f>(1+P29)*(1+Q$24)-1</f>
        <v>4.0399999999999991E-2</v>
      </c>
      <c r="R29" s="102">
        <f>(1+Q29)*(1+R$24)-1</f>
        <v>6.1207999999999929E-2</v>
      </c>
    </row>
    <row r="30" spans="2:18" x14ac:dyDescent="0.25">
      <c r="B30" s="2" t="s">
        <v>197</v>
      </c>
      <c r="F30" s="2" t="s">
        <v>127</v>
      </c>
      <c r="L30" s="19"/>
      <c r="M30" s="19"/>
      <c r="N30" s="19"/>
      <c r="O30" s="19"/>
      <c r="P30" s="19"/>
      <c r="Q30" s="101">
        <f>Q24</f>
        <v>2.0000000000000018E-2</v>
      </c>
      <c r="R30" s="102">
        <f>(1+Q30)*(1+R$24)-1</f>
        <v>4.0399999999999991E-2</v>
      </c>
    </row>
    <row r="31" spans="2:18" x14ac:dyDescent="0.25">
      <c r="B31" s="2" t="s">
        <v>232</v>
      </c>
      <c r="F31" s="2" t="s">
        <v>127</v>
      </c>
      <c r="L31" s="19"/>
      <c r="M31" s="19"/>
      <c r="N31" s="19"/>
      <c r="O31" s="19"/>
      <c r="P31" s="19"/>
      <c r="Q31" s="19"/>
      <c r="R31" s="101">
        <f>R24</f>
        <v>2.0000000000000018E-2</v>
      </c>
    </row>
  </sheetData>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CC"/>
  </sheetPr>
  <dimension ref="A2:U46"/>
  <sheetViews>
    <sheetView showGridLines="0" zoomScale="85" zoomScaleNormal="85" workbookViewId="0">
      <pane xSplit="6" ySplit="10" topLeftCell="G11" activePane="bottomRight" state="frozen"/>
      <selection activeCell="Q51" sqref="Q51"/>
      <selection pane="topRight" activeCell="Q51" sqref="Q51"/>
      <selection pane="bottomLeft" activeCell="Q51" sqref="Q51"/>
      <selection pane="bottomRight" activeCell="G11" sqref="G11"/>
    </sheetView>
  </sheetViews>
  <sheetFormatPr defaultRowHeight="12.75" customHeight="1" x14ac:dyDescent="0.25"/>
  <cols>
    <col min="1" max="1" width="4" style="2" customWidth="1"/>
    <col min="2" max="2" width="59.42578125" style="2" customWidth="1"/>
    <col min="3" max="4" width="4.5703125" style="2" customWidth="1"/>
    <col min="5" max="5" width="12.1406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3" width="14.7109375" style="43" bestFit="1" customWidth="1"/>
    <col min="14" max="15" width="15.85546875" style="43" bestFit="1" customWidth="1"/>
    <col min="16" max="16" width="12.5703125" style="43" customWidth="1"/>
    <col min="17" max="17" width="15.85546875" style="43" bestFit="1" customWidth="1"/>
    <col min="18" max="18" width="12.5703125" style="43" customWidth="1"/>
    <col min="19" max="20" width="2.7109375" style="2" customWidth="1"/>
    <col min="21" max="35" width="13.7109375" style="2" customWidth="1"/>
    <col min="36" max="16384" width="9.140625" style="2"/>
  </cols>
  <sheetData>
    <row r="2" spans="2:21" s="25" customFormat="1" ht="18" x14ac:dyDescent="0.25">
      <c r="B2" s="25" t="s">
        <v>233</v>
      </c>
      <c r="L2" s="42"/>
      <c r="M2" s="42"/>
      <c r="N2" s="42"/>
      <c r="O2" s="42"/>
      <c r="P2" s="42"/>
      <c r="Q2" s="42"/>
      <c r="R2" s="42"/>
    </row>
    <row r="4" spans="2:21" ht="12.75" customHeight="1" x14ac:dyDescent="0.25">
      <c r="B4" s="1" t="s">
        <v>59</v>
      </c>
      <c r="C4" s="1"/>
      <c r="D4" s="1"/>
    </row>
    <row r="5" spans="2:21" ht="12.75" customHeight="1" x14ac:dyDescent="0.2">
      <c r="B5" s="66" t="s">
        <v>234</v>
      </c>
    </row>
    <row r="6" spans="2:21" ht="12.75" customHeight="1" x14ac:dyDescent="0.2">
      <c r="B6" s="66" t="s">
        <v>286</v>
      </c>
    </row>
    <row r="7" spans="2:21" ht="12.75" customHeight="1" x14ac:dyDescent="0.2">
      <c r="B7" s="66" t="s">
        <v>207</v>
      </c>
      <c r="C7" s="3"/>
      <c r="D7" s="3"/>
      <c r="H7" s="26"/>
    </row>
    <row r="8" spans="2:21" ht="12.75" customHeight="1" x14ac:dyDescent="0.25">
      <c r="B8" s="3"/>
    </row>
    <row r="9" spans="2:21" s="8" customFormat="1" ht="12.75" customHeight="1" x14ac:dyDescent="0.25">
      <c r="B9" s="8" t="s">
        <v>46</v>
      </c>
      <c r="F9" s="8" t="s">
        <v>28</v>
      </c>
      <c r="H9" s="8" t="s">
        <v>29</v>
      </c>
      <c r="J9" s="8" t="s">
        <v>50</v>
      </c>
      <c r="L9" s="44" t="s">
        <v>151</v>
      </c>
      <c r="M9" s="44" t="s">
        <v>65</v>
      </c>
      <c r="N9" s="44" t="s">
        <v>66</v>
      </c>
      <c r="O9" s="44" t="s">
        <v>67</v>
      </c>
      <c r="P9" s="44" t="s">
        <v>68</v>
      </c>
      <c r="Q9" s="44" t="s">
        <v>69</v>
      </c>
      <c r="R9" s="44" t="s">
        <v>70</v>
      </c>
      <c r="U9" s="8" t="s">
        <v>48</v>
      </c>
    </row>
    <row r="12" spans="2:21" s="8" customFormat="1" ht="12.75" customHeight="1" x14ac:dyDescent="0.25">
      <c r="B12" s="8" t="s">
        <v>287</v>
      </c>
    </row>
    <row r="13" spans="2:21" x14ac:dyDescent="0.25">
      <c r="L13" s="2"/>
      <c r="M13" s="2"/>
      <c r="N13" s="2"/>
      <c r="O13" s="2"/>
      <c r="P13" s="2"/>
      <c r="Q13" s="2"/>
      <c r="R13" s="2"/>
    </row>
    <row r="14" spans="2:21" x14ac:dyDescent="0.2">
      <c r="B14" s="2" t="s">
        <v>145</v>
      </c>
      <c r="F14" s="77" t="s">
        <v>127</v>
      </c>
      <c r="H14" s="101">
        <f>'Input parameters'!M19</f>
        <v>2E-3</v>
      </c>
      <c r="L14" s="2"/>
      <c r="M14" s="2"/>
      <c r="N14" s="2"/>
      <c r="O14" s="2"/>
      <c r="P14" s="2"/>
      <c r="Q14" s="2"/>
      <c r="R14" s="2"/>
    </row>
    <row r="15" spans="2:21" x14ac:dyDescent="0.2">
      <c r="B15" s="2" t="s">
        <v>146</v>
      </c>
      <c r="F15" s="77" t="s">
        <v>127</v>
      </c>
      <c r="H15" s="101">
        <f>'Input parameters'!N19</f>
        <v>1.4E-2</v>
      </c>
      <c r="L15" s="2"/>
      <c r="M15" s="2"/>
      <c r="N15" s="2"/>
      <c r="O15" s="2"/>
      <c r="P15" s="2"/>
      <c r="Q15" s="2"/>
      <c r="R15" s="2"/>
    </row>
    <row r="16" spans="2:21" x14ac:dyDescent="0.2">
      <c r="B16" s="2" t="s">
        <v>147</v>
      </c>
      <c r="F16" s="77" t="s">
        <v>127</v>
      </c>
      <c r="H16" s="101">
        <f>'Input parameters'!O19</f>
        <v>2.1000000000000001E-2</v>
      </c>
      <c r="L16" s="2"/>
      <c r="M16" s="2"/>
      <c r="N16" s="2"/>
      <c r="O16" s="2"/>
      <c r="P16" s="2"/>
      <c r="Q16" s="2"/>
      <c r="R16" s="2"/>
    </row>
    <row r="17" spans="2:18" x14ac:dyDescent="0.2">
      <c r="B17" s="2" t="s">
        <v>180</v>
      </c>
      <c r="F17" s="144" t="s">
        <v>127</v>
      </c>
      <c r="H17" s="101">
        <f>'Input parameters'!P19</f>
        <v>2.8000000000000001E-2</v>
      </c>
      <c r="L17" s="2"/>
      <c r="M17" s="2"/>
      <c r="N17" s="2"/>
      <c r="O17" s="2"/>
      <c r="P17" s="2"/>
      <c r="Q17" s="2"/>
      <c r="R17" s="2"/>
    </row>
    <row r="18" spans="2:18" x14ac:dyDescent="0.2">
      <c r="F18" s="77"/>
      <c r="L18" s="2"/>
      <c r="M18" s="2"/>
      <c r="N18" s="2"/>
      <c r="O18" s="2"/>
      <c r="P18" s="2"/>
      <c r="Q18" s="2"/>
      <c r="R18" s="2"/>
    </row>
    <row r="19" spans="2:18" s="9" customFormat="1" x14ac:dyDescent="0.2">
      <c r="B19" s="75" t="s">
        <v>235</v>
      </c>
    </row>
    <row r="20" spans="2:18" x14ac:dyDescent="0.2">
      <c r="B20" s="2" t="s">
        <v>143</v>
      </c>
      <c r="F20" s="77" t="s">
        <v>155</v>
      </c>
      <c r="L20" s="94">
        <f>'Input x-factor, begininkomsten'!L13</f>
        <v>20487191.093370512</v>
      </c>
      <c r="M20" s="94">
        <f>'Input x-factor, begininkomsten'!M13</f>
        <v>28978029.685308009</v>
      </c>
      <c r="N20" s="94">
        <f>'Input x-factor, begininkomsten'!N13</f>
        <v>334771366.90920109</v>
      </c>
      <c r="O20" s="94">
        <f>'Input x-factor, begininkomsten'!O13</f>
        <v>385758605.7230584</v>
      </c>
      <c r="P20" s="94">
        <f>'Input x-factor, begininkomsten'!P13</f>
        <v>17302363.273569763</v>
      </c>
      <c r="Q20" s="94">
        <f>'Input x-factor, begininkomsten'!Q13</f>
        <v>286427922.36313856</v>
      </c>
      <c r="R20" s="94">
        <f>'Input x-factor, begininkomsten'!R13</f>
        <v>16388953.367710022</v>
      </c>
    </row>
    <row r="21" spans="2:18" x14ac:dyDescent="0.2">
      <c r="B21" s="2" t="s">
        <v>144</v>
      </c>
      <c r="F21" s="77" t="s">
        <v>76</v>
      </c>
      <c r="L21" s="60">
        <f>'Input x-factor, begininkomsten'!L16</f>
        <v>1.76</v>
      </c>
      <c r="M21" s="60">
        <f>'Input x-factor, begininkomsten'!M16</f>
        <v>1.74</v>
      </c>
      <c r="N21" s="60">
        <f>'Input x-factor, begininkomsten'!N16</f>
        <v>1.76</v>
      </c>
      <c r="O21" s="60">
        <f>'Input x-factor, begininkomsten'!O16</f>
        <v>1.63</v>
      </c>
      <c r="P21" s="60">
        <f>'Input x-factor, begininkomsten'!P16</f>
        <v>1.65</v>
      </c>
      <c r="Q21" s="60">
        <f>'Input x-factor, begininkomsten'!Q16</f>
        <v>1.67</v>
      </c>
      <c r="R21" s="60">
        <f>'Input x-factor, begininkomsten'!R16</f>
        <v>2.02</v>
      </c>
    </row>
    <row r="22" spans="2:18" x14ac:dyDescent="0.25">
      <c r="L22" s="2"/>
      <c r="M22" s="2"/>
      <c r="N22" s="2"/>
      <c r="O22" s="2"/>
      <c r="P22" s="2"/>
      <c r="Q22" s="2"/>
      <c r="R22" s="2"/>
    </row>
    <row r="23" spans="2:18" x14ac:dyDescent="0.2">
      <c r="B23" s="2" t="s">
        <v>182</v>
      </c>
      <c r="F23" s="150" t="s">
        <v>181</v>
      </c>
      <c r="J23" s="65">
        <f>SUM(L23:R23)</f>
        <v>1086998623.1380126</v>
      </c>
      <c r="L23" s="95">
        <f>L20*(1-L21/100+$H$14)*(1-L21/100+$H$15)*(1-L21/100+$H$16)*(1-L21/100+$H$17)</f>
        <v>20373008.972464021</v>
      </c>
      <c r="M23" s="95">
        <f t="shared" ref="M23:R23" si="0">M20*(1-M21/100+$H$14)*(1-M21/100+$H$15)*(1-M21/100+$H$16)*(1-M21/100+$H$17)</f>
        <v>28839618.679540176</v>
      </c>
      <c r="N23" s="95">
        <f t="shared" si="0"/>
        <v>332905571.61699885</v>
      </c>
      <c r="O23" s="95">
        <f t="shared" si="0"/>
        <v>385610192.18613166</v>
      </c>
      <c r="P23" s="95">
        <f t="shared" si="0"/>
        <v>17281872.121528618</v>
      </c>
      <c r="Q23" s="95">
        <f t="shared" si="0"/>
        <v>285859825.69779998</v>
      </c>
      <c r="R23" s="95">
        <f t="shared" si="0"/>
        <v>16128533.863549564</v>
      </c>
    </row>
    <row r="24" spans="2:18" s="9" customFormat="1" x14ac:dyDescent="0.2">
      <c r="B24" s="75"/>
    </row>
    <row r="25" spans="2:18" ht="12.75" customHeight="1" x14ac:dyDescent="0.25">
      <c r="B25" s="1" t="s">
        <v>236</v>
      </c>
    </row>
    <row r="26" spans="2:18" ht="12.75" customHeight="1" x14ac:dyDescent="0.2">
      <c r="B26" s="82" t="s">
        <v>152</v>
      </c>
      <c r="C26" s="9"/>
      <c r="D26" s="9"/>
      <c r="E26" s="9"/>
      <c r="F26" s="82" t="s">
        <v>155</v>
      </c>
      <c r="G26" s="9"/>
      <c r="H26" s="9"/>
      <c r="I26" s="9"/>
      <c r="J26" s="61"/>
      <c r="K26" s="9"/>
      <c r="L26" s="94">
        <f>'Input lokale heffingen 2020'!L46</f>
        <v>20486481.42662188</v>
      </c>
      <c r="M26" s="94">
        <f>'Input lokale heffingen 2020'!M46</f>
        <v>28942303.440613814</v>
      </c>
      <c r="N26" s="94">
        <f>'Input lokale heffingen 2020'!N46</f>
        <v>334730344.75774962</v>
      </c>
      <c r="O26" s="94">
        <f>'Input lokale heffingen 2020'!O46</f>
        <v>413172984.34947908</v>
      </c>
      <c r="P26" s="94">
        <f>'Input lokale heffingen 2020'!P46</f>
        <v>15209838.434218319</v>
      </c>
      <c r="Q26" s="94">
        <f>'Input lokale heffingen 2020'!Q46</f>
        <v>292169148.05520111</v>
      </c>
      <c r="R26" s="94">
        <f>'Input lokale heffingen 2020'!R46</f>
        <v>16410355.365178086</v>
      </c>
    </row>
    <row r="27" spans="2:18" ht="12.75" customHeight="1" x14ac:dyDescent="0.2">
      <c r="B27" s="82" t="s">
        <v>153</v>
      </c>
      <c r="C27" s="9"/>
      <c r="D27" s="9"/>
      <c r="E27" s="9"/>
      <c r="F27" s="82" t="s">
        <v>76</v>
      </c>
      <c r="G27" s="9"/>
      <c r="H27" s="9"/>
      <c r="I27" s="9"/>
      <c r="J27" s="9"/>
      <c r="K27" s="9"/>
      <c r="L27" s="60">
        <f>'Input lokale heffingen 2020'!L47</f>
        <v>1.76</v>
      </c>
      <c r="M27" s="60">
        <f>'Input lokale heffingen 2020'!M47</f>
        <v>1.74</v>
      </c>
      <c r="N27" s="60">
        <f>'Input lokale heffingen 2020'!N47</f>
        <v>1.76</v>
      </c>
      <c r="O27" s="60">
        <f>'Input lokale heffingen 2020'!O47</f>
        <v>1.51</v>
      </c>
      <c r="P27" s="60">
        <f>'Input lokale heffingen 2020'!P47</f>
        <v>1.74</v>
      </c>
      <c r="Q27" s="60">
        <f>'Input lokale heffingen 2020'!Q47</f>
        <v>1.64</v>
      </c>
      <c r="R27" s="60">
        <f>'Input lokale heffingen 2020'!R47</f>
        <v>2.02</v>
      </c>
    </row>
    <row r="28" spans="2:18" ht="12.75" customHeight="1" x14ac:dyDescent="0.2">
      <c r="B28" s="85"/>
      <c r="C28" s="86"/>
      <c r="D28" s="86"/>
      <c r="E28" s="86"/>
      <c r="F28" s="85"/>
      <c r="G28" s="86"/>
      <c r="H28" s="86"/>
      <c r="I28" s="86"/>
      <c r="J28" s="86"/>
      <c r="K28" s="86"/>
      <c r="L28" s="86"/>
      <c r="M28" s="86"/>
      <c r="N28" s="86"/>
      <c r="O28" s="86"/>
      <c r="P28" s="86"/>
      <c r="Q28" s="86"/>
      <c r="R28" s="86"/>
    </row>
    <row r="29" spans="2:18" ht="12.75" customHeight="1" x14ac:dyDescent="0.2">
      <c r="B29" s="67" t="s">
        <v>237</v>
      </c>
      <c r="C29" s="9"/>
      <c r="D29" s="9"/>
      <c r="E29" s="9"/>
      <c r="F29" s="66" t="s">
        <v>181</v>
      </c>
      <c r="G29" s="9"/>
      <c r="H29" s="9"/>
      <c r="I29" s="9"/>
      <c r="J29" s="65">
        <f>SUM(L29:R29)</f>
        <v>1120268195.4042358</v>
      </c>
      <c r="K29" s="9"/>
      <c r="L29" s="95">
        <f>L26*(1-L27/100+$H$14)*(1-L27/100+$H$15)*(1-L27/100+$H$16)*(1-L27/100+$H$17)</f>
        <v>20372303.260930825</v>
      </c>
      <c r="M29" s="95">
        <f t="shared" ref="M29:R29" si="1">M26*(1-M27/100+$H$14)*(1-M27/100+$H$15)*(1-M27/100+$H$16)*(1-M27/100+$H$17)</f>
        <v>28804063.07810621</v>
      </c>
      <c r="N29" s="95">
        <f t="shared" si="1"/>
        <v>332864778.09602368</v>
      </c>
      <c r="O29" s="95">
        <f t="shared" si="1"/>
        <v>415000345.67947942</v>
      </c>
      <c r="P29" s="95">
        <f t="shared" si="1"/>
        <v>15137189.980955338</v>
      </c>
      <c r="Q29" s="95">
        <f t="shared" si="1"/>
        <v>291939919.52420259</v>
      </c>
      <c r="R29" s="95">
        <f t="shared" si="1"/>
        <v>16149595.784537842</v>
      </c>
    </row>
    <row r="30" spans="2:18" ht="12.75" customHeight="1" x14ac:dyDescent="0.2">
      <c r="B30" s="9"/>
      <c r="C30" s="9"/>
      <c r="D30" s="9"/>
      <c r="E30" s="9"/>
      <c r="F30" s="54"/>
      <c r="G30" s="9"/>
      <c r="H30" s="9"/>
      <c r="I30" s="9"/>
      <c r="J30" s="61"/>
      <c r="K30" s="9"/>
      <c r="L30" s="55"/>
      <c r="M30" s="55"/>
      <c r="N30" s="55"/>
      <c r="O30" s="55"/>
      <c r="P30" s="55"/>
      <c r="Q30" s="55"/>
      <c r="R30" s="55"/>
    </row>
    <row r="31" spans="2:18" s="8" customFormat="1" ht="12.75" customHeight="1" x14ac:dyDescent="0.25">
      <c r="B31" s="8" t="s">
        <v>118</v>
      </c>
    </row>
    <row r="32" spans="2:18" s="79" customFormat="1" ht="12.75" customHeight="1" x14ac:dyDescent="0.2">
      <c r="G32" s="96"/>
      <c r="H32" s="96"/>
      <c r="I32" s="97"/>
      <c r="J32" s="96"/>
      <c r="K32" s="96"/>
      <c r="L32" s="96"/>
      <c r="M32" s="96"/>
      <c r="N32" s="96"/>
      <c r="P32" s="98"/>
    </row>
    <row r="33" spans="1:21" s="67" customFormat="1" ht="12.75" customHeight="1" x14ac:dyDescent="0.2">
      <c r="A33" s="66"/>
      <c r="B33" s="67" t="s">
        <v>238</v>
      </c>
      <c r="F33" s="66" t="s">
        <v>181</v>
      </c>
      <c r="L33" s="65">
        <f>L29-L23</f>
        <v>-705.71153319627047</v>
      </c>
      <c r="M33" s="65">
        <f t="shared" ref="M33:R33" si="2">M29-M23</f>
        <v>-35555.601433966309</v>
      </c>
      <c r="N33" s="65">
        <f t="shared" si="2"/>
        <v>-40793.52097517252</v>
      </c>
      <c r="O33" s="65">
        <f t="shared" si="2"/>
        <v>29390153.493347764</v>
      </c>
      <c r="P33" s="65">
        <f t="shared" si="2"/>
        <v>-2144682.1405732799</v>
      </c>
      <c r="Q33" s="65">
        <f t="shared" si="2"/>
        <v>6080093.8264026046</v>
      </c>
      <c r="R33" s="65">
        <f t="shared" si="2"/>
        <v>21061.920988278463</v>
      </c>
    </row>
    <row r="35" spans="1:21" ht="12.75" customHeight="1" x14ac:dyDescent="0.2">
      <c r="B35" s="78" t="s">
        <v>239</v>
      </c>
      <c r="C35" s="54"/>
      <c r="D35" s="54"/>
      <c r="E35" s="54"/>
      <c r="F35" s="99" t="s">
        <v>127</v>
      </c>
      <c r="H35" s="101">
        <f>Parameters!R30</f>
        <v>4.0399999999999991E-2</v>
      </c>
    </row>
    <row r="37" spans="1:21" ht="12.75" customHeight="1" x14ac:dyDescent="0.2">
      <c r="B37" s="67" t="s">
        <v>240</v>
      </c>
      <c r="F37" s="149" t="s">
        <v>241</v>
      </c>
      <c r="L37" s="64">
        <f>L33*(1+$H$35)</f>
        <v>-734.22227913739982</v>
      </c>
      <c r="M37" s="161"/>
      <c r="N37" s="64">
        <f t="shared" ref="N37:R37" si="3">N33*(1+$H$35)</f>
        <v>-42441.57922256949</v>
      </c>
      <c r="O37" s="64">
        <f t="shared" si="3"/>
        <v>30577515.694479015</v>
      </c>
      <c r="P37" s="64">
        <f t="shared" si="3"/>
        <v>-2231327.2990524406</v>
      </c>
      <c r="Q37" s="109">
        <f>Q33*(1+$H$35)+M33*(1+$H$35)</f>
        <v>6288737.5692573711</v>
      </c>
      <c r="R37" s="64">
        <f t="shared" si="3"/>
        <v>21912.822596204915</v>
      </c>
      <c r="U37" s="2" t="s">
        <v>326</v>
      </c>
    </row>
    <row r="41" spans="1:21" ht="12.75" customHeight="1" x14ac:dyDescent="0.25">
      <c r="S41" s="43">
        <f t="shared" ref="S41" si="4">S39-S37</f>
        <v>0</v>
      </c>
    </row>
    <row r="44" spans="1:21" ht="12.75" customHeight="1" x14ac:dyDescent="0.25">
      <c r="N44" s="2"/>
    </row>
    <row r="46" spans="1:21" ht="12.75" customHeight="1" x14ac:dyDescent="0.25">
      <c r="S46" s="43"/>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CC"/>
  </sheetPr>
  <dimension ref="A2:V93"/>
  <sheetViews>
    <sheetView showGridLines="0" zoomScale="85" zoomScaleNormal="85" workbookViewId="0">
      <pane xSplit="6" ySplit="11" topLeftCell="G12" activePane="bottomRight" state="frozen"/>
      <selection activeCell="Q51" sqref="Q51"/>
      <selection pane="topRight" activeCell="Q51" sqref="Q51"/>
      <selection pane="bottomLeft" activeCell="Q51" sqref="Q51"/>
      <selection pane="bottomRight" activeCell="G12" sqref="G12"/>
    </sheetView>
  </sheetViews>
  <sheetFormatPr defaultRowHeight="12.75" x14ac:dyDescent="0.25"/>
  <cols>
    <col min="1" max="1" width="4" style="2" customWidth="1"/>
    <col min="2" max="2" width="73.85546875" style="2" customWidth="1"/>
    <col min="3" max="5" width="4.5703125" style="2" customWidth="1"/>
    <col min="6" max="6" width="20"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8" width="12.5703125" style="43" customWidth="1"/>
    <col min="19" max="21" width="2.7109375" style="2" customWidth="1"/>
    <col min="22" max="36" width="13.7109375" style="2" customWidth="1"/>
    <col min="37" max="16384" width="9.140625" style="2"/>
  </cols>
  <sheetData>
    <row r="2" spans="2:22" s="25" customFormat="1" ht="18" x14ac:dyDescent="0.25">
      <c r="B2" s="25" t="s">
        <v>108</v>
      </c>
      <c r="L2" s="42"/>
      <c r="M2" s="42"/>
      <c r="N2" s="42"/>
      <c r="O2" s="42"/>
      <c r="P2" s="42"/>
      <c r="Q2" s="42"/>
      <c r="R2" s="42"/>
    </row>
    <row r="4" spans="2:22" ht="15" x14ac:dyDescent="0.25">
      <c r="B4" s="1" t="s">
        <v>59</v>
      </c>
      <c r="C4" s="1"/>
      <c r="D4" s="1"/>
      <c r="L4" s="36"/>
      <c r="M4" s="123"/>
    </row>
    <row r="5" spans="2:22" x14ac:dyDescent="0.25">
      <c r="B5" s="2" t="s">
        <v>71</v>
      </c>
    </row>
    <row r="6" spans="2:22" x14ac:dyDescent="0.25">
      <c r="B6" s="2" t="s">
        <v>72</v>
      </c>
    </row>
    <row r="7" spans="2:22" x14ac:dyDescent="0.25">
      <c r="B7" s="32" t="s">
        <v>176</v>
      </c>
      <c r="C7" s="3"/>
      <c r="D7" s="3"/>
      <c r="H7" s="26"/>
    </row>
    <row r="8" spans="2:22" x14ac:dyDescent="0.25">
      <c r="B8" s="32" t="s">
        <v>288</v>
      </c>
      <c r="C8" s="3"/>
      <c r="D8" s="3"/>
      <c r="H8" s="26"/>
    </row>
    <row r="10" spans="2:22" s="8" customFormat="1" x14ac:dyDescent="0.25">
      <c r="B10" s="8" t="s">
        <v>46</v>
      </c>
      <c r="F10" s="8" t="s">
        <v>28</v>
      </c>
      <c r="H10" s="8" t="s">
        <v>29</v>
      </c>
      <c r="J10" s="8" t="s">
        <v>50</v>
      </c>
      <c r="L10" s="44" t="s">
        <v>151</v>
      </c>
      <c r="M10" s="44" t="s">
        <v>65</v>
      </c>
      <c r="N10" s="44" t="s">
        <v>66</v>
      </c>
      <c r="O10" s="44" t="s">
        <v>67</v>
      </c>
      <c r="P10" s="44" t="s">
        <v>68</v>
      </c>
      <c r="Q10" s="44" t="s">
        <v>69</v>
      </c>
      <c r="R10" s="44" t="s">
        <v>70</v>
      </c>
      <c r="V10" s="8" t="s">
        <v>48</v>
      </c>
    </row>
    <row r="13" spans="2:22" s="8" customFormat="1" x14ac:dyDescent="0.25">
      <c r="B13" s="45" t="s">
        <v>107</v>
      </c>
      <c r="L13" s="44"/>
      <c r="M13" s="44"/>
      <c r="N13" s="44"/>
      <c r="O13" s="44"/>
      <c r="P13" s="44"/>
      <c r="Q13" s="44"/>
      <c r="R13" s="44"/>
    </row>
    <row r="14" spans="2:22" customFormat="1" ht="15" x14ac:dyDescent="0.25">
      <c r="B14" s="46"/>
      <c r="C14" s="38"/>
      <c r="D14" s="38"/>
      <c r="E14" s="38"/>
      <c r="F14" s="40"/>
      <c r="G14" s="38"/>
      <c r="H14" s="39"/>
      <c r="I14" s="39"/>
      <c r="J14" s="39"/>
      <c r="K14" s="39"/>
      <c r="L14" s="39"/>
      <c r="M14" s="39"/>
      <c r="N14" s="39"/>
    </row>
    <row r="15" spans="2:22" customFormat="1" ht="15" x14ac:dyDescent="0.25">
      <c r="B15" s="46" t="s">
        <v>73</v>
      </c>
      <c r="C15" s="38"/>
      <c r="D15" s="38"/>
      <c r="E15" s="38"/>
      <c r="F15" s="40"/>
      <c r="G15" s="38"/>
      <c r="H15" s="39"/>
      <c r="I15" s="39"/>
      <c r="J15" s="39"/>
      <c r="K15" s="39"/>
      <c r="L15" s="39"/>
      <c r="M15" s="39"/>
      <c r="N15" s="39"/>
    </row>
    <row r="16" spans="2:22" customFormat="1" ht="15" x14ac:dyDescent="0.25">
      <c r="B16" s="38"/>
      <c r="C16" s="38"/>
      <c r="D16" s="38"/>
      <c r="E16" s="38"/>
      <c r="F16" s="40"/>
      <c r="G16" s="38"/>
      <c r="H16" s="39"/>
      <c r="I16" s="39"/>
      <c r="J16" s="39"/>
      <c r="K16" s="39"/>
      <c r="L16" s="39"/>
      <c r="M16" s="39"/>
      <c r="N16" s="39"/>
    </row>
    <row r="17" spans="2:22" customFormat="1" ht="15" x14ac:dyDescent="0.25">
      <c r="B17" s="46" t="s">
        <v>74</v>
      </c>
      <c r="C17" s="38"/>
      <c r="D17" s="38"/>
      <c r="E17" s="38"/>
      <c r="F17" s="40"/>
      <c r="G17" s="38"/>
      <c r="H17" s="39"/>
      <c r="I17" s="39"/>
      <c r="J17" s="39"/>
      <c r="K17" s="39"/>
      <c r="L17" s="39"/>
      <c r="M17" s="39"/>
      <c r="N17" s="39"/>
    </row>
    <row r="18" spans="2:22" customFormat="1" ht="15" x14ac:dyDescent="0.25">
      <c r="B18" s="38" t="s">
        <v>75</v>
      </c>
      <c r="C18" s="2"/>
      <c r="D18" s="2"/>
      <c r="E18" s="38"/>
      <c r="F18" s="38" t="s">
        <v>76</v>
      </c>
      <c r="G18" s="2"/>
      <c r="H18" s="2"/>
      <c r="I18" s="2"/>
      <c r="J18" s="53"/>
      <c r="K18" s="38"/>
      <c r="L18" s="94">
        <f>'Input invoeding groen gas 2021'!L122</f>
        <v>0</v>
      </c>
      <c r="M18" s="94">
        <f>'Input invoeding groen gas 2021'!M122</f>
        <v>0</v>
      </c>
      <c r="N18" s="94">
        <f>'Input invoeding groen gas 2021'!N122</f>
        <v>0</v>
      </c>
      <c r="O18" s="94">
        <f>'Input invoeding groen gas 2021'!O122</f>
        <v>0</v>
      </c>
      <c r="P18" s="94">
        <f>'Input invoeding groen gas 2021'!P122</f>
        <v>0</v>
      </c>
      <c r="Q18" s="94">
        <f>'Input invoeding groen gas 2021'!Q122</f>
        <v>0</v>
      </c>
      <c r="R18" s="94">
        <f>'Input invoeding groen gas 2021'!R122</f>
        <v>0</v>
      </c>
    </row>
    <row r="19" spans="2:22" customFormat="1" ht="15" x14ac:dyDescent="0.25">
      <c r="B19" s="38" t="s">
        <v>77</v>
      </c>
      <c r="C19" s="2"/>
      <c r="D19" s="2"/>
      <c r="E19" s="38"/>
      <c r="F19" s="38" t="s">
        <v>76</v>
      </c>
      <c r="G19" s="2"/>
      <c r="H19" s="2"/>
      <c r="I19" s="2"/>
      <c r="J19" s="53"/>
      <c r="K19" s="38"/>
      <c r="L19" s="94">
        <f>'Input invoeding groen gas 2021'!L123</f>
        <v>0</v>
      </c>
      <c r="M19" s="94">
        <f>'Input invoeding groen gas 2021'!M123</f>
        <v>0</v>
      </c>
      <c r="N19" s="94">
        <f>'Input invoeding groen gas 2021'!N123</f>
        <v>0</v>
      </c>
      <c r="O19" s="94">
        <f>'Input invoeding groen gas 2021'!O123</f>
        <v>0</v>
      </c>
      <c r="P19" s="94">
        <f>'Input invoeding groen gas 2021'!P123</f>
        <v>0</v>
      </c>
      <c r="Q19" s="94">
        <f>'Input invoeding groen gas 2021'!Q123</f>
        <v>0</v>
      </c>
      <c r="R19" s="94">
        <f>'Input invoeding groen gas 2021'!R123</f>
        <v>0</v>
      </c>
    </row>
    <row r="20" spans="2:22" customFormat="1" ht="15" x14ac:dyDescent="0.25">
      <c r="B20" s="38" t="s">
        <v>78</v>
      </c>
      <c r="C20" s="2"/>
      <c r="D20" s="2"/>
      <c r="E20" s="38"/>
      <c r="F20" s="38" t="s">
        <v>76</v>
      </c>
      <c r="G20" s="2"/>
      <c r="H20" s="2"/>
      <c r="I20" s="2"/>
      <c r="J20" s="53"/>
      <c r="K20" s="38"/>
      <c r="L20" s="94">
        <f>'Input invoeding groen gas 2021'!L124</f>
        <v>0</v>
      </c>
      <c r="M20" s="94">
        <f>'Input invoeding groen gas 2021'!M124</f>
        <v>0</v>
      </c>
      <c r="N20" s="94">
        <f>'Input invoeding groen gas 2021'!N124</f>
        <v>0</v>
      </c>
      <c r="O20" s="94">
        <f>'Input invoeding groen gas 2021'!O124</f>
        <v>0</v>
      </c>
      <c r="P20" s="94">
        <f>'Input invoeding groen gas 2021'!P124</f>
        <v>0</v>
      </c>
      <c r="Q20" s="94">
        <f>'Input invoeding groen gas 2021'!Q124</f>
        <v>0</v>
      </c>
      <c r="R20" s="94">
        <f>'Input invoeding groen gas 2021'!R124</f>
        <v>0</v>
      </c>
    </row>
    <row r="21" spans="2:22" customFormat="1" ht="15" x14ac:dyDescent="0.25">
      <c r="B21" s="38" t="s">
        <v>79</v>
      </c>
      <c r="C21" s="2"/>
      <c r="D21" s="2"/>
      <c r="E21" s="38"/>
      <c r="F21" s="38" t="s">
        <v>76</v>
      </c>
      <c r="G21" s="2"/>
      <c r="H21" s="2"/>
      <c r="I21" s="2"/>
      <c r="J21" s="53"/>
      <c r="K21" s="38"/>
      <c r="L21" s="94">
        <f>'Input invoeding groen gas 2021'!L125</f>
        <v>0</v>
      </c>
      <c r="M21" s="94">
        <f>'Input invoeding groen gas 2021'!M125</f>
        <v>0</v>
      </c>
      <c r="N21" s="94">
        <f>'Input invoeding groen gas 2021'!N125</f>
        <v>0</v>
      </c>
      <c r="O21" s="94">
        <f>'Input invoeding groen gas 2021'!O125</f>
        <v>0</v>
      </c>
      <c r="P21" s="94">
        <f>'Input invoeding groen gas 2021'!P125</f>
        <v>0</v>
      </c>
      <c r="Q21" s="94">
        <f>'Input invoeding groen gas 2021'!Q125</f>
        <v>0</v>
      </c>
      <c r="R21" s="94">
        <f>'Input invoeding groen gas 2021'!R125</f>
        <v>0</v>
      </c>
    </row>
    <row r="22" spans="2:22" customFormat="1" ht="15" x14ac:dyDescent="0.25">
      <c r="B22" s="38" t="s">
        <v>80</v>
      </c>
      <c r="C22" s="2"/>
      <c r="D22" s="2"/>
      <c r="E22" s="38"/>
      <c r="F22" s="38" t="s">
        <v>76</v>
      </c>
      <c r="G22" s="2"/>
      <c r="H22" s="2"/>
      <c r="I22" s="2"/>
      <c r="J22" s="53"/>
      <c r="K22" s="38"/>
      <c r="L22" s="94">
        <f>'Input invoeding groen gas 2021'!L126</f>
        <v>0</v>
      </c>
      <c r="M22" s="94">
        <f>'Input invoeding groen gas 2021'!M126</f>
        <v>0</v>
      </c>
      <c r="N22" s="94">
        <f>'Input invoeding groen gas 2021'!N126</f>
        <v>0</v>
      </c>
      <c r="O22" s="94">
        <f>'Input invoeding groen gas 2021'!O126</f>
        <v>0</v>
      </c>
      <c r="P22" s="94">
        <f>'Input invoeding groen gas 2021'!P126</f>
        <v>0</v>
      </c>
      <c r="Q22" s="94">
        <f>'Input invoeding groen gas 2021'!Q126</f>
        <v>0</v>
      </c>
      <c r="R22" s="94">
        <f>'Input invoeding groen gas 2021'!R126</f>
        <v>0</v>
      </c>
    </row>
    <row r="23" spans="2:22" customFormat="1" ht="15" x14ac:dyDescent="0.25">
      <c r="B23" s="38" t="s">
        <v>81</v>
      </c>
      <c r="C23" s="2"/>
      <c r="D23" s="2"/>
      <c r="E23" s="38"/>
      <c r="F23" s="38" t="s">
        <v>76</v>
      </c>
      <c r="G23" s="2"/>
      <c r="H23" s="2"/>
      <c r="I23" s="2"/>
      <c r="J23" s="53"/>
      <c r="K23" s="38"/>
      <c r="L23" s="94">
        <f>'Input invoeding groen gas 2021'!L127</f>
        <v>0</v>
      </c>
      <c r="M23" s="94">
        <f>'Input invoeding groen gas 2021'!M127</f>
        <v>0</v>
      </c>
      <c r="N23" s="94">
        <f>'Input invoeding groen gas 2021'!N127</f>
        <v>0</v>
      </c>
      <c r="O23" s="94">
        <f>'Input invoeding groen gas 2021'!O127</f>
        <v>0</v>
      </c>
      <c r="P23" s="94">
        <f>'Input invoeding groen gas 2021'!P127</f>
        <v>0</v>
      </c>
      <c r="Q23" s="94">
        <f>'Input invoeding groen gas 2021'!Q127</f>
        <v>0.1050228310502283</v>
      </c>
      <c r="R23" s="94">
        <f>'Input invoeding groen gas 2021'!R127</f>
        <v>0</v>
      </c>
    </row>
    <row r="24" spans="2:22" customFormat="1" ht="15" x14ac:dyDescent="0.25">
      <c r="B24" s="38"/>
      <c r="C24" s="2"/>
      <c r="D24" s="2"/>
      <c r="E24" s="38"/>
      <c r="F24" s="38"/>
      <c r="G24" s="2"/>
      <c r="H24" s="2"/>
      <c r="I24" s="2"/>
      <c r="J24" s="53"/>
      <c r="K24" s="54"/>
      <c r="L24" s="55"/>
      <c r="M24" s="55"/>
      <c r="N24" s="55"/>
      <c r="O24" s="55"/>
      <c r="P24" s="55"/>
      <c r="Q24" s="55"/>
      <c r="R24" s="55"/>
    </row>
    <row r="25" spans="2:22" customFormat="1" ht="15" x14ac:dyDescent="0.25">
      <c r="B25" s="46" t="s">
        <v>82</v>
      </c>
      <c r="C25" s="2"/>
      <c r="D25" s="2"/>
      <c r="E25" s="38"/>
      <c r="F25" s="38"/>
      <c r="G25" s="2"/>
      <c r="H25" s="2"/>
      <c r="I25" s="2"/>
      <c r="J25" s="53"/>
      <c r="K25" s="54"/>
      <c r="L25" s="55"/>
      <c r="M25" s="55"/>
      <c r="N25" s="55"/>
      <c r="O25" s="55"/>
      <c r="P25" s="55"/>
      <c r="Q25" s="55"/>
      <c r="R25" s="55"/>
    </row>
    <row r="26" spans="2:22" customFormat="1" ht="15" x14ac:dyDescent="0.25">
      <c r="B26" s="38" t="s">
        <v>83</v>
      </c>
      <c r="C26" s="2"/>
      <c r="D26" s="2"/>
      <c r="E26" s="38"/>
      <c r="F26" s="38" t="s">
        <v>76</v>
      </c>
      <c r="G26" s="2"/>
      <c r="H26" s="2"/>
      <c r="I26" s="2"/>
      <c r="J26" s="53"/>
      <c r="K26" s="38"/>
      <c r="L26" s="94">
        <f>'Input invoeding groen gas 2021'!L130</f>
        <v>0</v>
      </c>
      <c r="M26" s="94">
        <f>'Input invoeding groen gas 2021'!M130</f>
        <v>0</v>
      </c>
      <c r="N26" s="94">
        <f>'Input invoeding groen gas 2021'!N130</f>
        <v>0</v>
      </c>
      <c r="O26" s="94">
        <f>'Input invoeding groen gas 2021'!O130</f>
        <v>0</v>
      </c>
      <c r="P26" s="94">
        <f>'Input invoeding groen gas 2021'!P130</f>
        <v>0</v>
      </c>
      <c r="Q26" s="94">
        <f>'Input invoeding groen gas 2021'!Q130</f>
        <v>0</v>
      </c>
      <c r="R26" s="94">
        <f>'Input invoeding groen gas 2021'!R130</f>
        <v>0</v>
      </c>
    </row>
    <row r="27" spans="2:22" customFormat="1" ht="15" x14ac:dyDescent="0.25">
      <c r="B27" s="38" t="s">
        <v>84</v>
      </c>
      <c r="C27" s="2"/>
      <c r="D27" s="2"/>
      <c r="E27" s="38"/>
      <c r="F27" s="38" t="s">
        <v>76</v>
      </c>
      <c r="G27" s="2"/>
      <c r="H27" s="2"/>
      <c r="I27" s="2"/>
      <c r="J27" s="53"/>
      <c r="K27" s="38"/>
      <c r="L27" s="94">
        <f>'Input invoeding groen gas 2021'!L131</f>
        <v>0</v>
      </c>
      <c r="M27" s="94">
        <f>'Input invoeding groen gas 2021'!M131</f>
        <v>0</v>
      </c>
      <c r="N27" s="94">
        <f>'Input invoeding groen gas 2021'!N131</f>
        <v>0</v>
      </c>
      <c r="O27" s="94">
        <f>'Input invoeding groen gas 2021'!O131</f>
        <v>0.33333333333333331</v>
      </c>
      <c r="P27" s="94">
        <f>'Input invoeding groen gas 2021'!P131</f>
        <v>0</v>
      </c>
      <c r="Q27" s="94">
        <f>'Input invoeding groen gas 2021'!Q131</f>
        <v>0</v>
      </c>
      <c r="R27" s="94">
        <f>'Input invoeding groen gas 2021'!R131</f>
        <v>0</v>
      </c>
    </row>
    <row r="28" spans="2:22" customFormat="1" ht="15" x14ac:dyDescent="0.25">
      <c r="B28" s="38" t="s">
        <v>85</v>
      </c>
      <c r="C28" s="2"/>
      <c r="D28" s="2"/>
      <c r="E28" s="38"/>
      <c r="F28" s="38" t="s">
        <v>76</v>
      </c>
      <c r="G28" s="2"/>
      <c r="H28" s="2"/>
      <c r="I28" s="2"/>
      <c r="J28" s="53"/>
      <c r="K28" s="38"/>
      <c r="L28" s="94">
        <f>'Input invoeding groen gas 2021'!L132</f>
        <v>0</v>
      </c>
      <c r="M28" s="94">
        <f>'Input invoeding groen gas 2021'!M132</f>
        <v>0</v>
      </c>
      <c r="N28" s="94">
        <f>'Input invoeding groen gas 2021'!N132</f>
        <v>0</v>
      </c>
      <c r="O28" s="94">
        <f>'Input invoeding groen gas 2021'!O132</f>
        <v>0</v>
      </c>
      <c r="P28" s="94">
        <f>'Input invoeding groen gas 2021'!P132</f>
        <v>0</v>
      </c>
      <c r="Q28" s="94">
        <f>'Input invoeding groen gas 2021'!Q132</f>
        <v>0</v>
      </c>
      <c r="R28" s="94">
        <f>'Input invoeding groen gas 2021'!R132</f>
        <v>0</v>
      </c>
    </row>
    <row r="29" spans="2:22" customFormat="1" ht="15" x14ac:dyDescent="0.25">
      <c r="B29" s="38" t="s">
        <v>86</v>
      </c>
      <c r="C29" s="2"/>
      <c r="D29" s="2"/>
      <c r="E29" s="38"/>
      <c r="F29" s="38" t="s">
        <v>76</v>
      </c>
      <c r="G29" s="2"/>
      <c r="H29" s="2"/>
      <c r="I29" s="2"/>
      <c r="J29" s="53"/>
      <c r="K29" s="38"/>
      <c r="L29" s="94">
        <f>'Input invoeding groen gas 2021'!L133</f>
        <v>0</v>
      </c>
      <c r="M29" s="94">
        <f>'Input invoeding groen gas 2021'!M133</f>
        <v>0</v>
      </c>
      <c r="N29" s="94">
        <f>'Input invoeding groen gas 2021'!N133</f>
        <v>0</v>
      </c>
      <c r="O29" s="94">
        <f>'Input invoeding groen gas 2021'!O133</f>
        <v>0</v>
      </c>
      <c r="P29" s="94">
        <f>'Input invoeding groen gas 2021'!P133</f>
        <v>0</v>
      </c>
      <c r="Q29" s="94">
        <f>'Input invoeding groen gas 2021'!Q133</f>
        <v>0</v>
      </c>
      <c r="R29" s="94">
        <f>'Input invoeding groen gas 2021'!R133</f>
        <v>0</v>
      </c>
    </row>
    <row r="30" spans="2:22" customFormat="1" ht="15" x14ac:dyDescent="0.25">
      <c r="B30" s="38" t="s">
        <v>87</v>
      </c>
      <c r="C30" s="2"/>
      <c r="D30" s="2"/>
      <c r="E30" s="38"/>
      <c r="F30" s="38" t="s">
        <v>76</v>
      </c>
      <c r="G30" s="2"/>
      <c r="H30" s="2"/>
      <c r="I30" s="2"/>
      <c r="J30" s="53"/>
      <c r="K30" s="38"/>
      <c r="L30" s="94">
        <f>'Input invoeding groen gas 2021'!L134</f>
        <v>0</v>
      </c>
      <c r="M30" s="94">
        <f>'Input invoeding groen gas 2021'!M134</f>
        <v>0</v>
      </c>
      <c r="N30" s="94">
        <f>'Input invoeding groen gas 2021'!N134</f>
        <v>0</v>
      </c>
      <c r="O30" s="94">
        <f>'Input invoeding groen gas 2021'!O134</f>
        <v>0</v>
      </c>
      <c r="P30" s="94">
        <f>'Input invoeding groen gas 2021'!P134</f>
        <v>0</v>
      </c>
      <c r="Q30" s="94">
        <f>'Input invoeding groen gas 2021'!Q134</f>
        <v>0</v>
      </c>
      <c r="R30" s="94">
        <f>'Input invoeding groen gas 2021'!R134</f>
        <v>0</v>
      </c>
    </row>
    <row r="31" spans="2:22" customFormat="1" ht="15" x14ac:dyDescent="0.25">
      <c r="B31" s="38"/>
      <c r="C31" s="2"/>
      <c r="D31" s="2"/>
      <c r="E31" s="38"/>
      <c r="F31" s="38"/>
      <c r="G31" s="2"/>
      <c r="H31" s="2"/>
      <c r="I31" s="2"/>
      <c r="J31" s="53"/>
      <c r="K31" s="54"/>
      <c r="L31" s="55"/>
      <c r="M31" s="55"/>
      <c r="N31" s="55"/>
      <c r="O31" s="55"/>
      <c r="P31" s="55"/>
      <c r="Q31" s="55"/>
      <c r="R31" s="55"/>
      <c r="S31" s="56"/>
      <c r="T31" s="56"/>
      <c r="U31" s="56"/>
      <c r="V31" s="56"/>
    </row>
    <row r="32" spans="2:22" customFormat="1" ht="15" x14ac:dyDescent="0.25">
      <c r="B32" s="46" t="s">
        <v>88</v>
      </c>
      <c r="C32" s="2"/>
      <c r="D32" s="2"/>
      <c r="E32" s="38"/>
      <c r="F32" s="38"/>
      <c r="G32" s="2"/>
      <c r="H32" s="2"/>
      <c r="I32" s="2"/>
      <c r="J32" s="53"/>
      <c r="K32" s="54"/>
      <c r="L32" s="55"/>
      <c r="M32" s="55"/>
      <c r="N32" s="55"/>
      <c r="O32" s="55"/>
      <c r="P32" s="55"/>
      <c r="Q32" s="55"/>
      <c r="R32" s="55"/>
      <c r="S32" s="56"/>
      <c r="T32" s="56"/>
      <c r="U32" s="56"/>
      <c r="V32" s="56"/>
    </row>
    <row r="33" spans="2:22" customFormat="1" ht="15" x14ac:dyDescent="0.25">
      <c r="B33" s="38"/>
      <c r="C33" s="2"/>
      <c r="D33" s="2"/>
      <c r="E33" s="38"/>
      <c r="F33" s="38"/>
      <c r="G33" s="2"/>
      <c r="H33" s="2"/>
      <c r="I33" s="2"/>
      <c r="J33" s="53"/>
      <c r="K33" s="54"/>
      <c r="L33" s="55"/>
      <c r="M33" s="55"/>
      <c r="N33" s="55"/>
      <c r="O33" s="55"/>
      <c r="P33" s="55"/>
      <c r="Q33" s="55"/>
      <c r="R33" s="55"/>
      <c r="S33" s="56"/>
      <c r="T33" s="56"/>
      <c r="U33" s="56"/>
      <c r="V33" s="56"/>
    </row>
    <row r="34" spans="2:22" customFormat="1" ht="15" x14ac:dyDescent="0.25">
      <c r="B34" s="46" t="s">
        <v>89</v>
      </c>
      <c r="C34" s="2"/>
      <c r="D34" s="2"/>
      <c r="E34" s="38"/>
      <c r="F34" s="38"/>
      <c r="G34" s="2"/>
      <c r="H34" s="2"/>
      <c r="I34" s="2"/>
      <c r="J34" s="56"/>
      <c r="K34" s="54"/>
      <c r="L34" s="55"/>
      <c r="M34" s="55"/>
      <c r="N34" s="55"/>
      <c r="O34" s="55"/>
      <c r="P34" s="55"/>
      <c r="Q34" s="55"/>
      <c r="R34" s="55"/>
      <c r="S34" s="56"/>
      <c r="T34" s="56"/>
      <c r="U34" s="56"/>
      <c r="V34" s="56"/>
    </row>
    <row r="35" spans="2:22" customFormat="1" ht="15" x14ac:dyDescent="0.25">
      <c r="B35" s="38" t="s">
        <v>90</v>
      </c>
      <c r="C35" s="2"/>
      <c r="D35" s="2"/>
      <c r="E35" s="38"/>
      <c r="F35" s="38" t="s">
        <v>76</v>
      </c>
      <c r="G35" s="2"/>
      <c r="H35" s="2"/>
      <c r="I35" s="2"/>
      <c r="J35" s="53"/>
      <c r="K35" s="38"/>
      <c r="L35" s="94">
        <f>'Input invoeding groen gas 2021'!L139</f>
        <v>1</v>
      </c>
      <c r="M35" s="94">
        <f>'Input invoeding groen gas 2021'!M139</f>
        <v>0</v>
      </c>
      <c r="N35" s="94">
        <f>'Input invoeding groen gas 2021'!N139</f>
        <v>0</v>
      </c>
      <c r="O35" s="94">
        <f>'Input invoeding groen gas 2021'!O139</f>
        <v>0</v>
      </c>
      <c r="P35" s="94">
        <f>'Input invoeding groen gas 2021'!P139</f>
        <v>0.47333333333333333</v>
      </c>
      <c r="Q35" s="94">
        <f>'Input invoeding groen gas 2021'!Q139</f>
        <v>0</v>
      </c>
      <c r="R35" s="94">
        <f>'Input invoeding groen gas 2021'!R139</f>
        <v>0</v>
      </c>
    </row>
    <row r="36" spans="2:22" customFormat="1" ht="15" x14ac:dyDescent="0.25">
      <c r="B36" s="38" t="s">
        <v>91</v>
      </c>
      <c r="C36" s="2"/>
      <c r="D36" s="2"/>
      <c r="E36" s="38"/>
      <c r="F36" s="38" t="s">
        <v>76</v>
      </c>
      <c r="G36" s="2"/>
      <c r="H36" s="2"/>
      <c r="I36" s="2"/>
      <c r="J36" s="53"/>
      <c r="K36" s="38"/>
      <c r="L36" s="94">
        <f>'Input invoeding groen gas 2021'!L140</f>
        <v>0</v>
      </c>
      <c r="M36" s="94">
        <f>'Input invoeding groen gas 2021'!M140</f>
        <v>0</v>
      </c>
      <c r="N36" s="94">
        <f>'Input invoeding groen gas 2021'!N140</f>
        <v>0</v>
      </c>
      <c r="O36" s="94">
        <f>'Input invoeding groen gas 2021'!O140</f>
        <v>0</v>
      </c>
      <c r="P36" s="94">
        <f>'Input invoeding groen gas 2021'!P140</f>
        <v>0</v>
      </c>
      <c r="Q36" s="94">
        <f>'Input invoeding groen gas 2021'!Q140</f>
        <v>0</v>
      </c>
      <c r="R36" s="94">
        <f>'Input invoeding groen gas 2021'!R140</f>
        <v>0</v>
      </c>
    </row>
    <row r="37" spans="2:22" customFormat="1" ht="15" x14ac:dyDescent="0.25">
      <c r="C37" s="2"/>
      <c r="D37" s="2"/>
      <c r="E37" s="38"/>
      <c r="F37" s="38"/>
      <c r="G37" s="2"/>
      <c r="H37" s="2"/>
      <c r="I37" s="2"/>
      <c r="J37" s="53"/>
      <c r="K37" s="54"/>
      <c r="L37" s="55"/>
      <c r="M37" s="55"/>
      <c r="N37" s="55"/>
      <c r="O37" s="55"/>
      <c r="P37" s="55"/>
      <c r="Q37" s="55"/>
      <c r="R37" s="55"/>
      <c r="S37" s="56"/>
      <c r="T37" s="56"/>
    </row>
    <row r="38" spans="2:22" customFormat="1" ht="15" x14ac:dyDescent="0.25">
      <c r="B38" s="38" t="s">
        <v>92</v>
      </c>
      <c r="C38" s="2"/>
      <c r="D38" s="2"/>
      <c r="E38" s="38"/>
      <c r="F38" s="38" t="s">
        <v>76</v>
      </c>
      <c r="G38" s="2"/>
      <c r="H38" s="2"/>
      <c r="I38" s="2"/>
      <c r="J38" s="53"/>
      <c r="K38" s="38"/>
      <c r="L38" s="94">
        <f>'Input invoeding groen gas 2021'!L142</f>
        <v>0</v>
      </c>
      <c r="M38" s="94">
        <f>'Input invoeding groen gas 2021'!M142</f>
        <v>0</v>
      </c>
      <c r="N38" s="94">
        <f>'Input invoeding groen gas 2021'!N142</f>
        <v>11.967943271851601</v>
      </c>
      <c r="O38" s="94">
        <f>'Input invoeding groen gas 2021'!O142</f>
        <v>6.583333333333333</v>
      </c>
      <c r="P38" s="94">
        <f>'Input invoeding groen gas 2021'!P142</f>
        <v>0</v>
      </c>
      <c r="Q38" s="94">
        <f>'Input invoeding groen gas 2021'!Q142</f>
        <v>3</v>
      </c>
      <c r="R38" s="94">
        <f>'Input invoeding groen gas 2021'!R142</f>
        <v>0</v>
      </c>
    </row>
    <row r="39" spans="2:22" customFormat="1" ht="15" x14ac:dyDescent="0.25">
      <c r="B39" s="38"/>
      <c r="C39" s="2"/>
      <c r="D39" s="2"/>
      <c r="E39" s="38"/>
      <c r="F39" s="38"/>
      <c r="G39" s="2"/>
      <c r="H39" s="2"/>
      <c r="I39" s="2"/>
      <c r="J39" s="53"/>
      <c r="K39" s="54"/>
      <c r="L39" s="55"/>
      <c r="M39" s="55"/>
      <c r="N39" s="55"/>
      <c r="O39" s="55"/>
      <c r="P39" s="55"/>
      <c r="Q39" s="55"/>
      <c r="R39" s="55"/>
      <c r="S39" s="56"/>
      <c r="T39" s="56"/>
    </row>
    <row r="40" spans="2:22" customFormat="1" ht="15" x14ac:dyDescent="0.25">
      <c r="B40" s="46" t="s">
        <v>93</v>
      </c>
      <c r="C40" s="2"/>
      <c r="D40" s="2"/>
      <c r="E40" s="38"/>
      <c r="F40" s="38"/>
      <c r="G40" s="2"/>
      <c r="H40" s="2"/>
      <c r="I40" s="2"/>
      <c r="J40" s="53"/>
      <c r="K40" s="54"/>
      <c r="L40" s="55"/>
      <c r="M40" s="55"/>
      <c r="N40" s="55"/>
      <c r="O40" s="55"/>
      <c r="P40" s="55"/>
      <c r="Q40" s="55"/>
      <c r="R40" s="55"/>
      <c r="S40" s="56"/>
      <c r="T40" s="56"/>
    </row>
    <row r="41" spans="2:22" customFormat="1" ht="15" x14ac:dyDescent="0.25">
      <c r="B41" s="38"/>
      <c r="C41" s="2"/>
      <c r="D41" s="2"/>
      <c r="E41" s="38"/>
      <c r="F41" s="38"/>
      <c r="G41" s="2"/>
      <c r="H41" s="2"/>
      <c r="I41" s="2"/>
      <c r="J41" s="53"/>
      <c r="K41" s="54"/>
      <c r="L41" s="55"/>
      <c r="M41" s="55"/>
      <c r="N41" s="55"/>
      <c r="O41" s="55"/>
      <c r="P41" s="55"/>
      <c r="Q41" s="55"/>
      <c r="R41" s="55"/>
      <c r="S41" s="56"/>
      <c r="T41" s="56"/>
    </row>
    <row r="42" spans="2:22" customFormat="1" ht="15" x14ac:dyDescent="0.25">
      <c r="B42" s="46" t="s">
        <v>89</v>
      </c>
      <c r="C42" s="2"/>
      <c r="D42" s="2"/>
      <c r="E42" s="38"/>
      <c r="F42" s="38"/>
      <c r="G42" s="2"/>
      <c r="H42" s="2"/>
      <c r="I42" s="2"/>
      <c r="J42" s="53"/>
      <c r="K42" s="54"/>
      <c r="L42" s="55"/>
      <c r="M42" s="55"/>
      <c r="N42" s="55"/>
      <c r="O42" s="55"/>
      <c r="P42" s="55"/>
      <c r="Q42" s="55"/>
      <c r="R42" s="55"/>
      <c r="S42" s="56"/>
      <c r="T42" s="56"/>
    </row>
    <row r="43" spans="2:22" customFormat="1" ht="15" x14ac:dyDescent="0.25">
      <c r="B43" s="38" t="s">
        <v>90</v>
      </c>
      <c r="C43" s="2"/>
      <c r="D43" s="2"/>
      <c r="E43" s="38"/>
      <c r="F43" s="38" t="s">
        <v>76</v>
      </c>
      <c r="G43" s="2"/>
      <c r="H43" s="2"/>
      <c r="I43" s="2"/>
      <c r="J43" s="53"/>
      <c r="K43" s="38"/>
      <c r="L43" s="94">
        <f>'Input invoeding groen gas 2021'!L147</f>
        <v>0</v>
      </c>
      <c r="M43" s="94">
        <f>'Input invoeding groen gas 2021'!M147</f>
        <v>0</v>
      </c>
      <c r="N43" s="94">
        <f>'Input invoeding groen gas 2021'!N147</f>
        <v>0</v>
      </c>
      <c r="O43" s="94">
        <f>'Input invoeding groen gas 2021'!O147</f>
        <v>0</v>
      </c>
      <c r="P43" s="94">
        <f>'Input invoeding groen gas 2021'!P147</f>
        <v>714.33333333333337</v>
      </c>
      <c r="Q43" s="94">
        <f>'Input invoeding groen gas 2021'!Q147</f>
        <v>0</v>
      </c>
      <c r="R43" s="94">
        <f>'Input invoeding groen gas 2021'!R147</f>
        <v>0</v>
      </c>
    </row>
    <row r="44" spans="2:22" customFormat="1" ht="15" x14ac:dyDescent="0.25">
      <c r="B44" s="38" t="s">
        <v>91</v>
      </c>
      <c r="C44" s="2"/>
      <c r="D44" s="2"/>
      <c r="E44" s="38"/>
      <c r="F44" s="38" t="s">
        <v>76</v>
      </c>
      <c r="G44" s="2"/>
      <c r="H44" s="2"/>
      <c r="I44" s="2"/>
      <c r="J44" s="53"/>
      <c r="K44" s="38"/>
      <c r="L44" s="94">
        <f>'Input invoeding groen gas 2021'!L148</f>
        <v>0</v>
      </c>
      <c r="M44" s="94">
        <f>'Input invoeding groen gas 2021'!M148</f>
        <v>0</v>
      </c>
      <c r="N44" s="94">
        <f>'Input invoeding groen gas 2021'!N148</f>
        <v>0</v>
      </c>
      <c r="O44" s="94">
        <f>'Input invoeding groen gas 2021'!O148</f>
        <v>0</v>
      </c>
      <c r="P44" s="94">
        <f>'Input invoeding groen gas 2021'!P148</f>
        <v>0</v>
      </c>
      <c r="Q44" s="94">
        <f>'Input invoeding groen gas 2021'!Q148</f>
        <v>0</v>
      </c>
      <c r="R44" s="94">
        <f>'Input invoeding groen gas 2021'!R148</f>
        <v>0</v>
      </c>
    </row>
    <row r="45" spans="2:22" customFormat="1" ht="15" x14ac:dyDescent="0.25">
      <c r="B45" s="38"/>
      <c r="C45" s="2"/>
      <c r="D45" s="2"/>
      <c r="E45" s="38"/>
      <c r="F45" s="38"/>
      <c r="G45" s="2"/>
      <c r="H45" s="2"/>
      <c r="I45" s="2"/>
      <c r="J45" s="53"/>
      <c r="K45" s="54"/>
      <c r="L45" s="55"/>
      <c r="M45" s="55"/>
      <c r="N45" s="55"/>
      <c r="O45" s="55"/>
      <c r="P45" s="55"/>
      <c r="Q45" s="55"/>
      <c r="R45" s="55"/>
      <c r="S45" s="56"/>
      <c r="T45" s="56"/>
    </row>
    <row r="46" spans="2:22" customFormat="1" ht="15" x14ac:dyDescent="0.25">
      <c r="B46" s="38" t="s">
        <v>94</v>
      </c>
      <c r="C46" s="2"/>
      <c r="D46" s="2"/>
      <c r="E46" s="38"/>
      <c r="F46" s="38" t="s">
        <v>76</v>
      </c>
      <c r="G46" s="2"/>
      <c r="H46" s="2"/>
      <c r="I46" s="2"/>
      <c r="J46" s="53"/>
      <c r="K46" s="38"/>
      <c r="L46" s="94">
        <f>'Input invoeding groen gas 2021'!L150</f>
        <v>0</v>
      </c>
      <c r="M46" s="94">
        <f>'Input invoeding groen gas 2021'!M150</f>
        <v>0</v>
      </c>
      <c r="N46" s="94">
        <f>'Input invoeding groen gas 2021'!N150</f>
        <v>10672.483623519271</v>
      </c>
      <c r="O46" s="94">
        <f>'Input invoeding groen gas 2021'!O150</f>
        <v>2648.3333333333335</v>
      </c>
      <c r="P46" s="94">
        <f>'Input invoeding groen gas 2021'!P150</f>
        <v>0</v>
      </c>
      <c r="Q46" s="94">
        <f>'Input invoeding groen gas 2021'!Q150</f>
        <v>523.99964898424821</v>
      </c>
      <c r="R46" s="94">
        <f>'Input invoeding groen gas 2021'!R150</f>
        <v>0</v>
      </c>
    </row>
    <row r="47" spans="2:22" customFormat="1" ht="15" x14ac:dyDescent="0.25">
      <c r="C47" s="2"/>
      <c r="D47" s="2"/>
      <c r="M47" s="123"/>
    </row>
    <row r="48" spans="2:22" s="8" customFormat="1" x14ac:dyDescent="0.25">
      <c r="B48" s="8" t="s">
        <v>289</v>
      </c>
    </row>
    <row r="49" spans="1:18" customFormat="1" ht="15" x14ac:dyDescent="0.25">
      <c r="A49" s="38"/>
      <c r="B49" s="38"/>
      <c r="C49" s="38"/>
      <c r="D49" s="38"/>
      <c r="E49" s="38"/>
      <c r="F49" s="40"/>
      <c r="G49" s="38"/>
      <c r="H49" s="39"/>
      <c r="I49" s="39"/>
      <c r="J49" s="39"/>
      <c r="K49" s="39"/>
      <c r="L49" s="39"/>
      <c r="M49" s="39"/>
      <c r="N49" s="39"/>
    </row>
    <row r="50" spans="1:18" customFormat="1" ht="15" x14ac:dyDescent="0.25">
      <c r="B50" s="46" t="s">
        <v>96</v>
      </c>
      <c r="C50" s="38"/>
      <c r="D50" s="38"/>
      <c r="E50" s="38"/>
      <c r="F50" s="40"/>
      <c r="G50" s="38"/>
      <c r="H50" s="39"/>
      <c r="I50" s="39"/>
      <c r="J50" s="39"/>
      <c r="K50" s="39"/>
      <c r="L50" s="39"/>
      <c r="M50" s="39"/>
      <c r="N50" s="39"/>
    </row>
    <row r="51" spans="1:18" customFormat="1" ht="15" x14ac:dyDescent="0.25">
      <c r="B51" s="38"/>
      <c r="C51" s="38"/>
      <c r="D51" s="38"/>
      <c r="E51" s="38"/>
      <c r="F51" s="40"/>
      <c r="G51" s="38"/>
      <c r="H51" s="39"/>
      <c r="I51" s="39"/>
      <c r="J51" s="39"/>
      <c r="K51" s="39"/>
      <c r="L51" s="39"/>
      <c r="M51" s="39"/>
      <c r="N51" s="39"/>
    </row>
    <row r="52" spans="1:18" customFormat="1" ht="15" x14ac:dyDescent="0.25">
      <c r="B52" s="46" t="s">
        <v>97</v>
      </c>
      <c r="C52" s="38"/>
      <c r="D52" s="38"/>
      <c r="E52" s="38"/>
      <c r="F52" s="40"/>
      <c r="G52" s="38"/>
      <c r="H52" s="39"/>
      <c r="I52" s="39"/>
      <c r="J52" s="39"/>
      <c r="K52" s="39"/>
      <c r="L52" s="39"/>
      <c r="M52" s="39"/>
      <c r="N52" s="39"/>
    </row>
    <row r="53" spans="1:18" customFormat="1" ht="15" x14ac:dyDescent="0.25">
      <c r="B53" s="38" t="s">
        <v>98</v>
      </c>
      <c r="C53" s="38"/>
      <c r="D53" s="2"/>
      <c r="E53" s="38"/>
      <c r="F53" s="38" t="s">
        <v>192</v>
      </c>
      <c r="G53" s="38"/>
      <c r="H53" s="2"/>
      <c r="I53" s="2"/>
      <c r="J53" s="2"/>
      <c r="K53" s="2"/>
      <c r="L53" s="57"/>
      <c r="M53" s="57"/>
      <c r="N53" s="57"/>
      <c r="O53" s="57"/>
      <c r="P53" s="57"/>
      <c r="Q53" s="112">
        <f>'Input invoeding groen gas 2021'!Q157</f>
        <v>18</v>
      </c>
      <c r="R53" s="121"/>
    </row>
    <row r="54" spans="1:18" customFormat="1" ht="15" x14ac:dyDescent="0.25">
      <c r="B54" s="38" t="s">
        <v>99</v>
      </c>
      <c r="C54" s="38"/>
      <c r="D54" s="2"/>
      <c r="E54" s="38"/>
      <c r="F54" s="38" t="s">
        <v>192</v>
      </c>
      <c r="G54" s="38"/>
      <c r="H54" s="2"/>
      <c r="I54" s="2"/>
      <c r="J54" s="2"/>
      <c r="K54" s="2"/>
      <c r="L54" s="57"/>
      <c r="M54" s="57"/>
      <c r="N54" s="57"/>
      <c r="O54" s="57"/>
      <c r="P54" s="57"/>
      <c r="Q54" s="112">
        <f>'Input invoeding groen gas 2021'!Q158</f>
        <v>29.0306</v>
      </c>
      <c r="R54" s="121"/>
    </row>
    <row r="55" spans="1:18" customFormat="1" ht="15" x14ac:dyDescent="0.25">
      <c r="B55" s="38"/>
      <c r="C55" s="38"/>
      <c r="D55" s="2"/>
      <c r="E55" s="38"/>
      <c r="F55" s="38"/>
      <c r="G55" s="38"/>
      <c r="H55" s="2"/>
      <c r="I55" s="2"/>
      <c r="J55" s="2"/>
      <c r="K55" s="2"/>
      <c r="L55" s="41"/>
      <c r="M55" s="41"/>
      <c r="N55" s="41"/>
      <c r="O55" s="41"/>
      <c r="P55" s="41"/>
      <c r="Q55" s="41"/>
      <c r="R55" s="41"/>
    </row>
    <row r="56" spans="1:18" customFormat="1" ht="15" x14ac:dyDescent="0.25">
      <c r="B56" s="46" t="s">
        <v>100</v>
      </c>
      <c r="C56" s="38"/>
      <c r="D56" s="2"/>
      <c r="E56" s="38"/>
      <c r="F56" s="38"/>
      <c r="G56" s="38"/>
      <c r="H56" s="2"/>
      <c r="I56" s="2"/>
      <c r="J56" s="2"/>
      <c r="K56" s="2"/>
      <c r="L56" s="41"/>
      <c r="M56" s="41"/>
      <c r="N56" s="41"/>
      <c r="O56" s="41"/>
      <c r="P56" s="41"/>
      <c r="Q56" s="41"/>
      <c r="R56" s="41"/>
    </row>
    <row r="57" spans="1:18" customFormat="1" ht="15" x14ac:dyDescent="0.25">
      <c r="B57" s="38" t="s">
        <v>98</v>
      </c>
      <c r="C57" s="38"/>
      <c r="D57" s="2"/>
      <c r="E57" s="38"/>
      <c r="F57" s="38" t="s">
        <v>192</v>
      </c>
      <c r="G57" s="38"/>
      <c r="H57" s="2"/>
      <c r="I57" s="2"/>
      <c r="J57" s="2"/>
      <c r="K57" s="2"/>
      <c r="L57" s="121"/>
      <c r="M57" s="121"/>
      <c r="N57" s="121"/>
      <c r="O57" s="112">
        <f>'Input invoeding groen gas 2021'!O161</f>
        <v>18</v>
      </c>
      <c r="P57" s="121"/>
      <c r="Q57" s="121"/>
      <c r="R57" s="121"/>
    </row>
    <row r="58" spans="1:18" customFormat="1" ht="15" x14ac:dyDescent="0.25">
      <c r="B58" s="38" t="s">
        <v>99</v>
      </c>
      <c r="C58" s="38"/>
      <c r="D58" s="2"/>
      <c r="E58" s="38"/>
      <c r="F58" s="38" t="s">
        <v>192</v>
      </c>
      <c r="G58" s="38"/>
      <c r="H58" s="2"/>
      <c r="I58" s="2"/>
      <c r="J58" s="2"/>
      <c r="K58" s="2"/>
      <c r="L58" s="121"/>
      <c r="M58" s="121"/>
      <c r="N58" s="121"/>
      <c r="O58" s="112">
        <f>'Input invoeding groen gas 2021'!O162</f>
        <v>32.04</v>
      </c>
      <c r="P58" s="121"/>
      <c r="Q58" s="121"/>
      <c r="R58" s="121"/>
    </row>
    <row r="59" spans="1:18" customFormat="1" ht="15" x14ac:dyDescent="0.25">
      <c r="B59" s="38"/>
      <c r="C59" s="38"/>
      <c r="D59" s="2"/>
      <c r="E59" s="38"/>
      <c r="F59" s="38"/>
      <c r="G59" s="38"/>
      <c r="H59" s="2"/>
      <c r="I59" s="2"/>
      <c r="J59" s="2"/>
      <c r="K59" s="2"/>
      <c r="L59" s="41"/>
      <c r="M59" s="41"/>
      <c r="N59" s="41"/>
      <c r="O59" s="41"/>
      <c r="P59" s="41"/>
      <c r="Q59" s="41"/>
      <c r="R59" s="41"/>
    </row>
    <row r="60" spans="1:18" customFormat="1" ht="15" x14ac:dyDescent="0.25">
      <c r="B60" s="46" t="s">
        <v>101</v>
      </c>
      <c r="C60" s="38"/>
      <c r="D60" s="2"/>
      <c r="E60" s="38"/>
      <c r="F60" s="38"/>
      <c r="G60" s="40"/>
      <c r="H60" s="2"/>
      <c r="I60" s="2"/>
      <c r="J60" s="2"/>
      <c r="K60" s="2"/>
      <c r="L60" s="48"/>
      <c r="M60" s="48"/>
      <c r="N60" s="48"/>
      <c r="O60" s="48"/>
      <c r="P60" s="48"/>
      <c r="Q60" s="48"/>
      <c r="R60" s="41"/>
    </row>
    <row r="61" spans="1:18" customFormat="1" ht="15" x14ac:dyDescent="0.25">
      <c r="B61" s="38" t="s">
        <v>98</v>
      </c>
      <c r="C61" s="38"/>
      <c r="D61" s="2"/>
      <c r="E61" s="38"/>
      <c r="F61" s="38" t="s">
        <v>192</v>
      </c>
      <c r="G61" s="38"/>
      <c r="H61" s="2"/>
      <c r="I61" s="2"/>
      <c r="J61" s="2"/>
      <c r="K61" s="2"/>
      <c r="L61" s="112">
        <f>'Input invoeding groen gas 2021'!L165</f>
        <v>529.67769999999996</v>
      </c>
      <c r="M61" s="121"/>
      <c r="N61" s="112">
        <f>'Input invoeding groen gas 2021'!N165</f>
        <v>1036.0999999999999</v>
      </c>
      <c r="O61" s="112">
        <f>'Input invoeding groen gas 2021'!O165</f>
        <v>855</v>
      </c>
      <c r="P61" s="112">
        <f>'Input invoeding groen gas 2021'!P165</f>
        <v>612.85</v>
      </c>
      <c r="Q61" s="112">
        <f>'Input invoeding groen gas 2021'!Q165</f>
        <v>780.01620000000003</v>
      </c>
      <c r="R61" s="121"/>
    </row>
    <row r="62" spans="1:18" customFormat="1" ht="15" x14ac:dyDescent="0.25">
      <c r="B62" s="38" t="s">
        <v>90</v>
      </c>
      <c r="C62" s="38"/>
      <c r="D62" s="2"/>
      <c r="E62" s="38"/>
      <c r="F62" s="38" t="s">
        <v>192</v>
      </c>
      <c r="G62" s="38"/>
      <c r="H62" s="2"/>
      <c r="I62" s="2"/>
      <c r="J62" s="2"/>
      <c r="K62" s="2"/>
      <c r="L62" s="121"/>
      <c r="M62" s="121"/>
      <c r="N62" s="121"/>
      <c r="O62" s="121"/>
      <c r="P62" s="112">
        <f>'Input invoeding groen gas 2021'!P166</f>
        <v>22.55</v>
      </c>
      <c r="Q62" s="121"/>
      <c r="R62" s="121"/>
    </row>
    <row r="63" spans="1:18" customFormat="1" ht="15" x14ac:dyDescent="0.25">
      <c r="B63" s="38" t="s">
        <v>91</v>
      </c>
      <c r="C63" s="38"/>
      <c r="D63" s="2"/>
      <c r="E63" s="38"/>
      <c r="F63" s="38" t="s">
        <v>192</v>
      </c>
      <c r="G63" s="38"/>
      <c r="H63" s="2"/>
      <c r="I63" s="2"/>
      <c r="J63" s="2"/>
      <c r="K63" s="2"/>
      <c r="L63" s="121"/>
      <c r="M63" s="121"/>
      <c r="N63" s="121"/>
      <c r="O63" s="121"/>
      <c r="P63" s="121"/>
      <c r="Q63" s="121"/>
      <c r="R63" s="121"/>
    </row>
    <row r="64" spans="1:18" customFormat="1" ht="15" x14ac:dyDescent="0.25">
      <c r="B64" s="38" t="s">
        <v>102</v>
      </c>
      <c r="C64" s="38"/>
      <c r="D64" s="2"/>
      <c r="E64" s="38"/>
      <c r="F64" s="38" t="s">
        <v>192</v>
      </c>
      <c r="G64" s="38"/>
      <c r="H64" s="2"/>
      <c r="I64" s="2"/>
      <c r="J64" s="2"/>
      <c r="K64" s="2"/>
      <c r="L64" s="121"/>
      <c r="M64" s="121"/>
      <c r="N64" s="112">
        <f>'Input invoeding groen gas 2021'!N168</f>
        <v>23.823</v>
      </c>
      <c r="O64" s="112">
        <f>'Input invoeding groen gas 2021'!O168</f>
        <v>22.080000000000002</v>
      </c>
      <c r="P64" s="121"/>
      <c r="Q64" s="112">
        <f>'Input invoeding groen gas 2021'!Q168</f>
        <v>25.25</v>
      </c>
      <c r="R64" s="121"/>
    </row>
    <row r="65" spans="1:18" customFormat="1" ht="15" x14ac:dyDescent="0.25">
      <c r="D65" s="2"/>
      <c r="H65" s="2"/>
      <c r="I65" s="2"/>
      <c r="J65" s="2"/>
      <c r="K65" s="2"/>
      <c r="L65" s="49"/>
      <c r="M65" s="49"/>
      <c r="N65" s="49"/>
      <c r="O65" s="49"/>
      <c r="P65" s="49"/>
      <c r="Q65" s="49"/>
      <c r="R65" s="49"/>
    </row>
    <row r="66" spans="1:18" customFormat="1" ht="15" x14ac:dyDescent="0.25">
      <c r="B66" s="50" t="s">
        <v>103</v>
      </c>
      <c r="D66" s="2"/>
      <c r="H66" s="2"/>
      <c r="I66" s="2"/>
      <c r="J66" s="2"/>
      <c r="K66" s="2"/>
      <c r="L66" s="49"/>
      <c r="M66" s="49"/>
      <c r="N66" s="49"/>
      <c r="O66" s="49"/>
      <c r="P66" s="49"/>
      <c r="Q66" s="49"/>
      <c r="R66" s="49"/>
    </row>
    <row r="67" spans="1:18" customFormat="1" ht="15" x14ac:dyDescent="0.25">
      <c r="D67" s="2"/>
      <c r="H67" s="2"/>
      <c r="I67" s="2"/>
      <c r="J67" s="2"/>
      <c r="K67" s="2"/>
      <c r="L67" s="49"/>
      <c r="M67" s="49"/>
      <c r="N67" s="49"/>
      <c r="O67" s="49"/>
      <c r="P67" s="49"/>
      <c r="Q67" s="49"/>
      <c r="R67" s="49"/>
    </row>
    <row r="68" spans="1:18" customFormat="1" ht="15" x14ac:dyDescent="0.25">
      <c r="B68" t="s">
        <v>81</v>
      </c>
      <c r="D68" s="2"/>
      <c r="F68" s="83" t="s">
        <v>166</v>
      </c>
      <c r="H68" s="2"/>
      <c r="I68" s="2"/>
      <c r="J68" s="2"/>
      <c r="K68" s="2"/>
      <c r="L68" s="121"/>
      <c r="M68" s="121"/>
      <c r="N68" s="121"/>
      <c r="O68" s="121"/>
      <c r="P68" s="121"/>
      <c r="Q68" s="112">
        <f>'Input invoeding groen gas 2021'!Q172</f>
        <v>25</v>
      </c>
      <c r="R68" s="121"/>
    </row>
    <row r="69" spans="1:18" customFormat="1" ht="15" x14ac:dyDescent="0.25">
      <c r="B69" t="s">
        <v>84</v>
      </c>
      <c r="D69" s="2"/>
      <c r="F69" s="83" t="s">
        <v>166</v>
      </c>
      <c r="H69" s="2"/>
      <c r="I69" s="2"/>
      <c r="J69" s="2"/>
      <c r="K69" s="2"/>
      <c r="L69" s="121"/>
      <c r="M69" s="121"/>
      <c r="N69" s="121"/>
      <c r="O69" s="112">
        <f>'Input invoeding groen gas 2021'!O173</f>
        <v>65</v>
      </c>
      <c r="P69" s="121"/>
      <c r="Q69" s="121"/>
      <c r="R69" s="121"/>
    </row>
    <row r="70" spans="1:18" customFormat="1" ht="15" x14ac:dyDescent="0.25">
      <c r="D70" s="2"/>
      <c r="F70" s="38"/>
      <c r="H70" s="2"/>
      <c r="I70" s="2"/>
      <c r="J70" s="2"/>
      <c r="K70" s="2"/>
      <c r="L70" s="111"/>
      <c r="M70" s="111"/>
      <c r="N70" s="111"/>
      <c r="O70" s="55"/>
      <c r="P70" s="111"/>
      <c r="Q70" s="111"/>
      <c r="R70" s="111"/>
    </row>
    <row r="71" spans="1:18" s="8" customFormat="1" x14ac:dyDescent="0.25">
      <c r="B71" s="45" t="s">
        <v>290</v>
      </c>
      <c r="L71" s="44"/>
      <c r="M71" s="44"/>
      <c r="N71" s="44"/>
      <c r="O71" s="44"/>
      <c r="P71" s="44"/>
      <c r="Q71" s="44"/>
      <c r="R71" s="44"/>
    </row>
    <row r="72" spans="1:18" customFormat="1" ht="15" x14ac:dyDescent="0.25">
      <c r="A72" s="38"/>
      <c r="B72" s="38"/>
      <c r="C72" s="38"/>
      <c r="D72" s="38"/>
      <c r="E72" s="38"/>
      <c r="F72" s="40"/>
      <c r="G72" s="38"/>
      <c r="H72" s="39"/>
      <c r="I72" s="39"/>
      <c r="J72" s="39"/>
      <c r="K72" s="39"/>
      <c r="L72" s="39"/>
      <c r="M72" s="39"/>
      <c r="N72" s="39"/>
    </row>
    <row r="73" spans="1:18" customFormat="1" ht="15" x14ac:dyDescent="0.25">
      <c r="B73" s="46" t="s">
        <v>97</v>
      </c>
      <c r="C73" s="38"/>
      <c r="D73" s="38"/>
      <c r="E73" s="38"/>
      <c r="F73" s="40"/>
      <c r="G73" s="38"/>
      <c r="H73" s="39"/>
      <c r="I73" s="39"/>
      <c r="J73" s="55"/>
      <c r="K73" s="39"/>
      <c r="L73" s="39"/>
      <c r="M73" s="39"/>
      <c r="N73" s="39"/>
    </row>
    <row r="74" spans="1:18" customFormat="1" ht="15" x14ac:dyDescent="0.25">
      <c r="B74" s="38" t="s">
        <v>98</v>
      </c>
      <c r="C74" s="38"/>
      <c r="D74" s="2"/>
      <c r="E74" s="2"/>
      <c r="F74" s="38" t="s">
        <v>192</v>
      </c>
      <c r="G74" s="2"/>
      <c r="H74" s="2"/>
      <c r="I74" s="2"/>
      <c r="J74" s="53"/>
      <c r="K74" s="38"/>
      <c r="L74" s="57"/>
      <c r="M74" s="57"/>
      <c r="N74" s="57"/>
      <c r="O74" s="57"/>
      <c r="P74" s="57"/>
      <c r="Q74" s="65">
        <f>Q53*Q23</f>
        <v>1.8904109589041096</v>
      </c>
      <c r="R74" s="57"/>
    </row>
    <row r="75" spans="1:18" customFormat="1" ht="15" x14ac:dyDescent="0.25">
      <c r="B75" s="38" t="s">
        <v>99</v>
      </c>
      <c r="C75" s="38"/>
      <c r="D75" s="2"/>
      <c r="E75" s="2"/>
      <c r="F75" s="38" t="s">
        <v>192</v>
      </c>
      <c r="G75" s="2"/>
      <c r="H75" s="2"/>
      <c r="I75" s="2"/>
      <c r="J75" s="53"/>
      <c r="K75" s="38"/>
      <c r="L75" s="57"/>
      <c r="M75" s="57"/>
      <c r="N75" s="57"/>
      <c r="O75" s="57"/>
      <c r="P75" s="57"/>
      <c r="Q75" s="65">
        <f>Q23*Q54*Q68</f>
        <v>76.221894977168944</v>
      </c>
      <c r="R75" s="57"/>
    </row>
    <row r="76" spans="1:18" customFormat="1" ht="15" x14ac:dyDescent="0.25">
      <c r="B76" s="38"/>
      <c r="C76" s="38"/>
      <c r="D76" s="2"/>
      <c r="E76" s="2"/>
      <c r="F76" s="38"/>
      <c r="G76" s="2"/>
      <c r="H76" s="2"/>
      <c r="I76" s="2"/>
      <c r="J76" s="54"/>
      <c r="K76" s="38"/>
      <c r="L76" s="39"/>
      <c r="M76" s="39"/>
      <c r="N76" s="39"/>
      <c r="O76" s="39"/>
      <c r="P76" s="39"/>
      <c r="Q76" s="39"/>
      <c r="R76" s="39"/>
    </row>
    <row r="77" spans="1:18" customFormat="1" ht="15" x14ac:dyDescent="0.25">
      <c r="B77" s="46" t="s">
        <v>100</v>
      </c>
      <c r="C77" s="38"/>
      <c r="D77" s="2"/>
      <c r="E77" s="2"/>
      <c r="F77" s="38"/>
      <c r="G77" s="2"/>
      <c r="H77" s="2"/>
      <c r="I77" s="2"/>
      <c r="J77" s="54"/>
      <c r="K77" s="38"/>
      <c r="L77" s="39"/>
      <c r="M77" s="39"/>
      <c r="N77" s="39"/>
      <c r="O77" s="39"/>
      <c r="P77" s="39"/>
      <c r="Q77" s="39"/>
      <c r="R77" s="39"/>
    </row>
    <row r="78" spans="1:18" customFormat="1" ht="15" x14ac:dyDescent="0.25">
      <c r="B78" s="38" t="s">
        <v>98</v>
      </c>
      <c r="C78" s="38"/>
      <c r="D78" s="2"/>
      <c r="E78" s="2"/>
      <c r="F78" s="38" t="s">
        <v>192</v>
      </c>
      <c r="G78" s="2"/>
      <c r="H78" s="2"/>
      <c r="I78" s="2"/>
      <c r="J78" s="53"/>
      <c r="K78" s="38"/>
      <c r="L78" s="57"/>
      <c r="M78" s="57"/>
      <c r="N78" s="57"/>
      <c r="O78" s="65">
        <f>O57*O27</f>
        <v>6</v>
      </c>
      <c r="P78" s="57"/>
      <c r="Q78" s="57"/>
      <c r="R78" s="57"/>
    </row>
    <row r="79" spans="1:18" customFormat="1" ht="15" x14ac:dyDescent="0.25">
      <c r="B79" s="38" t="s">
        <v>99</v>
      </c>
      <c r="C79" s="38"/>
      <c r="D79" s="2"/>
      <c r="E79" s="2"/>
      <c r="F79" s="38" t="s">
        <v>192</v>
      </c>
      <c r="G79" s="2"/>
      <c r="H79" s="2"/>
      <c r="I79" s="2"/>
      <c r="J79" s="53"/>
      <c r="K79" s="38"/>
      <c r="L79" s="57"/>
      <c r="M79" s="57"/>
      <c r="N79" s="57"/>
      <c r="O79" s="65">
        <f>O58*O69*O27</f>
        <v>694.19999999999993</v>
      </c>
      <c r="P79" s="57"/>
      <c r="Q79" s="57"/>
      <c r="R79" s="57"/>
    </row>
    <row r="80" spans="1:18" customFormat="1" ht="15" x14ac:dyDescent="0.25">
      <c r="B80" s="38"/>
      <c r="C80" s="38"/>
      <c r="D80" s="2"/>
      <c r="E80" s="2"/>
      <c r="F80" s="38"/>
      <c r="G80" s="2"/>
      <c r="H80" s="2"/>
      <c r="I80" s="2"/>
      <c r="J80" s="54"/>
      <c r="K80" s="38"/>
      <c r="L80" s="39"/>
      <c r="M80" s="39"/>
      <c r="N80" s="39"/>
      <c r="O80" s="39"/>
      <c r="P80" s="39"/>
      <c r="Q80" s="39"/>
      <c r="R80" s="39"/>
    </row>
    <row r="81" spans="2:22" customFormat="1" ht="15" x14ac:dyDescent="0.25">
      <c r="B81" s="46" t="s">
        <v>101</v>
      </c>
      <c r="C81" s="38"/>
      <c r="D81" s="2"/>
      <c r="E81" s="2"/>
      <c r="F81" s="38"/>
      <c r="G81" s="2"/>
      <c r="H81" s="2"/>
      <c r="I81" s="2"/>
      <c r="J81" s="54"/>
      <c r="K81" s="38"/>
      <c r="M81" s="123"/>
    </row>
    <row r="82" spans="2:22" customFormat="1" ht="15" x14ac:dyDescent="0.25">
      <c r="B82" s="38" t="s">
        <v>98</v>
      </c>
      <c r="C82" s="38"/>
      <c r="D82" s="2"/>
      <c r="E82" s="2"/>
      <c r="F82" s="38" t="s">
        <v>192</v>
      </c>
      <c r="G82" s="2"/>
      <c r="H82" s="2"/>
      <c r="I82" s="2"/>
      <c r="J82" s="53"/>
      <c r="K82" s="38"/>
      <c r="L82" s="65">
        <f>L61*L35</f>
        <v>529.67769999999996</v>
      </c>
      <c r="M82" s="161"/>
      <c r="N82" s="65">
        <f>N61*N38</f>
        <v>12399.986023965443</v>
      </c>
      <c r="O82" s="65">
        <f>O61*O38</f>
        <v>5628.75</v>
      </c>
      <c r="P82" s="65">
        <f>P61*P35</f>
        <v>290.08233333333334</v>
      </c>
      <c r="Q82" s="65">
        <f>Q61*Q38</f>
        <v>2340.0486000000001</v>
      </c>
      <c r="R82" s="57"/>
    </row>
    <row r="83" spans="2:22" customFormat="1" ht="15" x14ac:dyDescent="0.25">
      <c r="B83" s="38" t="s">
        <v>90</v>
      </c>
      <c r="C83" s="38"/>
      <c r="D83" s="2"/>
      <c r="E83" s="2"/>
      <c r="F83" s="38" t="s">
        <v>192</v>
      </c>
      <c r="G83" s="2"/>
      <c r="H83" s="2"/>
      <c r="I83" s="2"/>
      <c r="J83" s="53"/>
      <c r="K83" s="38"/>
      <c r="L83" s="57"/>
      <c r="M83" s="57"/>
      <c r="N83" s="57"/>
      <c r="O83" s="57"/>
      <c r="P83" s="65">
        <f>P62*P43</f>
        <v>16108.216666666667</v>
      </c>
      <c r="Q83" s="57"/>
      <c r="R83" s="57"/>
    </row>
    <row r="84" spans="2:22" customFormat="1" ht="15" x14ac:dyDescent="0.25">
      <c r="B84" s="38" t="s">
        <v>91</v>
      </c>
      <c r="C84" s="38"/>
      <c r="D84" s="2"/>
      <c r="E84" s="2"/>
      <c r="F84" s="38" t="s">
        <v>192</v>
      </c>
      <c r="G84" s="2"/>
      <c r="H84" s="2"/>
      <c r="I84" s="2"/>
      <c r="J84" s="53"/>
      <c r="K84" s="38"/>
      <c r="L84" s="57"/>
      <c r="M84" s="57"/>
      <c r="N84" s="57"/>
      <c r="O84" s="57"/>
      <c r="P84" s="57"/>
      <c r="Q84" s="57"/>
      <c r="R84" s="57"/>
    </row>
    <row r="85" spans="2:22" customFormat="1" ht="15" x14ac:dyDescent="0.25">
      <c r="B85" s="38" t="s">
        <v>102</v>
      </c>
      <c r="C85" s="38"/>
      <c r="D85" s="2"/>
      <c r="E85" s="2"/>
      <c r="F85" s="38" t="s">
        <v>192</v>
      </c>
      <c r="G85" s="2"/>
      <c r="H85" s="2"/>
      <c r="I85" s="2"/>
      <c r="J85" s="53"/>
      <c r="K85" s="38"/>
      <c r="L85" s="57"/>
      <c r="M85" s="57"/>
      <c r="N85" s="65">
        <f>N64*N46</f>
        <v>254250.57736309958</v>
      </c>
      <c r="O85" s="65">
        <f>O64*O46</f>
        <v>58475.200000000012</v>
      </c>
      <c r="P85" s="57"/>
      <c r="Q85" s="65">
        <f>Q64*Q46</f>
        <v>13230.991136852268</v>
      </c>
      <c r="R85" s="57"/>
    </row>
    <row r="86" spans="2:22" customFormat="1" ht="15" x14ac:dyDescent="0.25">
      <c r="D86" s="2"/>
      <c r="E86" s="2"/>
      <c r="G86" s="2"/>
      <c r="H86" s="2"/>
      <c r="I86" s="2"/>
      <c r="J86" s="54"/>
      <c r="M86" s="123"/>
    </row>
    <row r="87" spans="2:22" s="8" customFormat="1" x14ac:dyDescent="0.25">
      <c r="B87" s="45" t="s">
        <v>118</v>
      </c>
      <c r="L87" s="44"/>
      <c r="M87" s="44"/>
      <c r="N87" s="44"/>
      <c r="O87" s="44"/>
      <c r="P87" s="44"/>
      <c r="Q87" s="44"/>
      <c r="R87" s="44"/>
    </row>
    <row r="88" spans="2:22" customFormat="1" ht="15" x14ac:dyDescent="0.25">
      <c r="D88" s="2"/>
      <c r="E88" s="2"/>
      <c r="G88" s="2"/>
      <c r="H88" s="2"/>
      <c r="I88" s="2"/>
      <c r="J88" s="54"/>
      <c r="M88" s="123"/>
    </row>
    <row r="89" spans="2:22" customFormat="1" ht="15" x14ac:dyDescent="0.25">
      <c r="B89" s="38" t="s">
        <v>164</v>
      </c>
      <c r="D89" s="2"/>
      <c r="E89" s="2"/>
      <c r="F89" s="164" t="s">
        <v>192</v>
      </c>
      <c r="G89" s="2"/>
      <c r="H89" s="2"/>
      <c r="I89" s="2"/>
      <c r="J89" s="53"/>
      <c r="L89" s="65">
        <f t="shared" ref="L89:R89" si="0">SUM(L74:L85)</f>
        <v>529.67769999999996</v>
      </c>
      <c r="M89" s="65">
        <f t="shared" si="0"/>
        <v>0</v>
      </c>
      <c r="N89" s="65">
        <f t="shared" si="0"/>
        <v>266650.56338706502</v>
      </c>
      <c r="O89" s="65">
        <f t="shared" si="0"/>
        <v>64804.150000000009</v>
      </c>
      <c r="P89" s="65">
        <f t="shared" si="0"/>
        <v>16398.298999999999</v>
      </c>
      <c r="Q89" s="65">
        <f>SUM(Q74:Q85)</f>
        <v>15649.152042788341</v>
      </c>
      <c r="R89" s="65">
        <f t="shared" si="0"/>
        <v>0</v>
      </c>
    </row>
    <row r="90" spans="2:22" x14ac:dyDescent="0.25">
      <c r="B90" s="1"/>
    </row>
    <row r="91" spans="2:22" x14ac:dyDescent="0.25">
      <c r="B91" s="2" t="s">
        <v>323</v>
      </c>
      <c r="F91" s="2" t="s">
        <v>127</v>
      </c>
      <c r="H91" s="113">
        <f>Parameters!R31</f>
        <v>2.0000000000000018E-2</v>
      </c>
    </row>
    <row r="93" spans="2:22" x14ac:dyDescent="0.2">
      <c r="B93" s="38" t="s">
        <v>165</v>
      </c>
      <c r="F93" s="164" t="s">
        <v>241</v>
      </c>
      <c r="L93" s="64">
        <f>L89*(1+$H$91)</f>
        <v>540.271254</v>
      </c>
      <c r="M93" s="161"/>
      <c r="N93" s="64">
        <f t="shared" ref="N93:R93" si="1">N89*(1+$H$91)</f>
        <v>271983.57465480635</v>
      </c>
      <c r="O93" s="64">
        <f t="shared" si="1"/>
        <v>66100.233000000007</v>
      </c>
      <c r="P93" s="64">
        <f t="shared" si="1"/>
        <v>16726.26498</v>
      </c>
      <c r="Q93" s="128">
        <f>Q89*(1+$H$91)+M89*(1+$H$91)</f>
        <v>15962.135083644107</v>
      </c>
      <c r="R93" s="64">
        <f t="shared" si="1"/>
        <v>0</v>
      </c>
      <c r="V93" s="2" t="s">
        <v>326</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CC"/>
  </sheetPr>
  <dimension ref="B2:V29"/>
  <sheetViews>
    <sheetView showGridLines="0" zoomScale="85" zoomScaleNormal="85" workbookViewId="0">
      <pane xSplit="6" ySplit="11" topLeftCell="G12" activePane="bottomRight" state="frozen"/>
      <selection activeCell="R6" sqref="R6"/>
      <selection pane="topRight" activeCell="R6" sqref="R6"/>
      <selection pane="bottomLeft" activeCell="R6" sqref="R6"/>
      <selection pane="bottomRight" activeCell="G12" sqref="G12"/>
    </sheetView>
  </sheetViews>
  <sheetFormatPr defaultRowHeight="12.75" x14ac:dyDescent="0.25"/>
  <cols>
    <col min="1" max="1" width="4.7109375" style="2" customWidth="1"/>
    <col min="2" max="2" width="41.42578125"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8" width="12.5703125" style="2" customWidth="1"/>
    <col min="19" max="19" width="2.7109375" style="2" customWidth="1"/>
    <col min="20" max="20" width="17.140625" style="2" customWidth="1"/>
    <col min="21" max="21" width="2.7109375" style="2" customWidth="1"/>
    <col min="22" max="22" width="13.7109375" style="2" customWidth="1"/>
    <col min="23" max="23" width="2.7109375" style="2" customWidth="1"/>
    <col min="24" max="38" width="13.7109375" style="2" customWidth="1"/>
    <col min="39" max="16384" width="9.140625" style="2"/>
  </cols>
  <sheetData>
    <row r="2" spans="2:22" s="25" customFormat="1" ht="18" x14ac:dyDescent="0.25">
      <c r="B2" s="25" t="s">
        <v>242</v>
      </c>
    </row>
    <row r="4" spans="2:22" x14ac:dyDescent="0.25">
      <c r="B4" s="1" t="s">
        <v>30</v>
      </c>
    </row>
    <row r="5" spans="2:22" ht="12.75" customHeight="1" x14ac:dyDescent="0.25">
      <c r="B5" s="133" t="s">
        <v>243</v>
      </c>
      <c r="C5" s="1"/>
      <c r="D5" s="1"/>
      <c r="L5" s="123"/>
      <c r="M5" s="123"/>
    </row>
    <row r="6" spans="2:22" ht="12.75" customHeight="1" x14ac:dyDescent="0.25">
      <c r="B6" s="32" t="s">
        <v>199</v>
      </c>
      <c r="C6" s="32"/>
      <c r="D6" s="32"/>
      <c r="H6" s="26"/>
    </row>
    <row r="7" spans="2:22" x14ac:dyDescent="0.25">
      <c r="B7" s="2" t="s">
        <v>244</v>
      </c>
      <c r="C7" s="32"/>
      <c r="D7" s="32"/>
      <c r="H7" s="26"/>
    </row>
    <row r="8" spans="2:22" x14ac:dyDescent="0.25">
      <c r="B8" s="126" t="s">
        <v>245</v>
      </c>
      <c r="C8" s="32"/>
      <c r="D8" s="32"/>
      <c r="H8" s="26"/>
    </row>
    <row r="10" spans="2:22" s="8" customFormat="1" x14ac:dyDescent="0.25">
      <c r="B10" s="8" t="s">
        <v>46</v>
      </c>
      <c r="F10" s="8" t="s">
        <v>28</v>
      </c>
      <c r="H10" s="8" t="s">
        <v>29</v>
      </c>
      <c r="J10" s="8" t="s">
        <v>50</v>
      </c>
      <c r="L10" s="8" t="s">
        <v>151</v>
      </c>
      <c r="M10" s="8" t="s">
        <v>65</v>
      </c>
      <c r="N10" s="8" t="s">
        <v>66</v>
      </c>
      <c r="O10" s="8" t="s">
        <v>67</v>
      </c>
      <c r="P10" s="8" t="s">
        <v>68</v>
      </c>
      <c r="Q10" s="8" t="s">
        <v>69</v>
      </c>
      <c r="R10" s="8" t="s">
        <v>70</v>
      </c>
      <c r="T10" s="8" t="s">
        <v>47</v>
      </c>
      <c r="V10" s="8" t="s">
        <v>48</v>
      </c>
    </row>
    <row r="13" spans="2:22" s="8" customFormat="1" x14ac:dyDescent="0.25">
      <c r="B13" s="8" t="s">
        <v>291</v>
      </c>
    </row>
    <row r="15" spans="2:22" ht="12.75" customHeight="1" x14ac:dyDescent="0.2">
      <c r="B15" s="37" t="s">
        <v>246</v>
      </c>
      <c r="F15" s="93"/>
      <c r="T15" s="32"/>
    </row>
    <row r="16" spans="2:22" ht="12.75" customHeight="1" x14ac:dyDescent="0.2">
      <c r="B16" s="2" t="s">
        <v>247</v>
      </c>
      <c r="F16" s="93" t="s">
        <v>181</v>
      </c>
      <c r="L16" s="142"/>
      <c r="M16" s="142"/>
      <c r="N16" s="142"/>
      <c r="O16" s="142"/>
      <c r="P16" s="129">
        <v>17456839.445112217</v>
      </c>
      <c r="Q16" s="142"/>
      <c r="R16" s="142"/>
      <c r="T16" s="141" t="s">
        <v>329</v>
      </c>
    </row>
    <row r="17" spans="2:20" ht="12.75" customHeight="1" x14ac:dyDescent="0.2">
      <c r="B17" s="2" t="s">
        <v>248</v>
      </c>
      <c r="F17" s="93" t="s">
        <v>181</v>
      </c>
      <c r="L17" s="142"/>
      <c r="M17" s="142"/>
      <c r="N17" s="142"/>
      <c r="O17" s="142"/>
      <c r="P17" s="129">
        <v>15510171.828238755</v>
      </c>
      <c r="Q17" s="142"/>
      <c r="R17" s="142"/>
      <c r="T17" s="141" t="s">
        <v>344</v>
      </c>
    </row>
    <row r="18" spans="2:20" ht="12.75" customHeight="1" x14ac:dyDescent="0.25">
      <c r="F18" s="93"/>
      <c r="T18" s="123"/>
    </row>
    <row r="19" spans="2:20" x14ac:dyDescent="0.2">
      <c r="B19" s="2" t="s">
        <v>249</v>
      </c>
      <c r="F19" s="93" t="s">
        <v>181</v>
      </c>
      <c r="L19" s="142"/>
      <c r="M19" s="142"/>
      <c r="N19" s="142"/>
      <c r="O19" s="142"/>
      <c r="P19" s="65">
        <f>P16-P17</f>
        <v>1946667.6168734618</v>
      </c>
      <c r="Q19" s="142"/>
      <c r="R19" s="142"/>
    </row>
    <row r="21" spans="2:20" x14ac:dyDescent="0.25">
      <c r="B21" s="37" t="s">
        <v>250</v>
      </c>
    </row>
    <row r="22" spans="2:20" x14ac:dyDescent="0.25">
      <c r="B22" s="2" t="s">
        <v>251</v>
      </c>
      <c r="F22" s="2" t="s">
        <v>181</v>
      </c>
      <c r="L22" s="142"/>
      <c r="M22" s="142"/>
      <c r="N22" s="142"/>
      <c r="O22" s="142"/>
      <c r="P22" s="94">
        <f>'Lokale heffingen 2020'!P33</f>
        <v>-2144682.1405732799</v>
      </c>
      <c r="Q22" s="142"/>
      <c r="R22" s="142"/>
    </row>
    <row r="24" spans="2:20" x14ac:dyDescent="0.25">
      <c r="B24" s="37" t="s">
        <v>200</v>
      </c>
    </row>
    <row r="25" spans="2:20" x14ac:dyDescent="0.25">
      <c r="B25" s="2" t="s">
        <v>242</v>
      </c>
      <c r="F25" s="2" t="s">
        <v>181</v>
      </c>
      <c r="L25" s="142"/>
      <c r="M25" s="142"/>
      <c r="N25" s="142"/>
      <c r="O25" s="142"/>
      <c r="P25" s="65">
        <f>IF(P22&gt;0,0,IF(ABS(P22)&gt;P19,P19,ABS(P22)))</f>
        <v>1946667.6168734618</v>
      </c>
      <c r="Q25" s="142"/>
      <c r="R25" s="142"/>
    </row>
    <row r="27" spans="2:20" x14ac:dyDescent="0.2">
      <c r="B27" s="93" t="s">
        <v>239</v>
      </c>
      <c r="C27" s="77"/>
      <c r="D27" s="77"/>
      <c r="E27" s="77"/>
      <c r="F27" s="99" t="s">
        <v>127</v>
      </c>
      <c r="H27" s="101">
        <f>Parameters!R30</f>
        <v>4.0399999999999991E-2</v>
      </c>
    </row>
    <row r="29" spans="2:20" x14ac:dyDescent="0.25">
      <c r="B29" s="2" t="s">
        <v>242</v>
      </c>
      <c r="F29" s="2" t="s">
        <v>241</v>
      </c>
      <c r="L29" s="142"/>
      <c r="M29" s="142"/>
      <c r="N29" s="142"/>
      <c r="O29" s="142"/>
      <c r="P29" s="64">
        <f>P25*(1+H27)</f>
        <v>2025312.9885951495</v>
      </c>
      <c r="Q29" s="142"/>
      <c r="R29" s="14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CC"/>
  </sheetPr>
  <dimension ref="A1:T76"/>
  <sheetViews>
    <sheetView showGridLines="0" zoomScale="85" zoomScaleNormal="85" workbookViewId="0">
      <pane xSplit="6" ySplit="17" topLeftCell="G18" activePane="bottomRight" state="frozen"/>
      <selection activeCell="Q51" sqref="Q51"/>
      <selection pane="topRight" activeCell="Q51" sqref="Q51"/>
      <selection pane="bottomLeft" activeCell="Q51" sqref="Q51"/>
      <selection pane="bottomRight" activeCell="G18" sqref="G18"/>
    </sheetView>
  </sheetViews>
  <sheetFormatPr defaultRowHeight="12.75" customHeight="1" x14ac:dyDescent="0.25"/>
  <cols>
    <col min="1" max="1" width="4" style="2" customWidth="1"/>
    <col min="2" max="2" width="41.42578125"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2" width="12.5703125" style="43" customWidth="1"/>
    <col min="13" max="14" width="17" style="43" bestFit="1" customWidth="1"/>
    <col min="15" max="15" width="12.5703125" style="43" customWidth="1"/>
    <col min="16" max="16" width="17" style="43" bestFit="1" customWidth="1"/>
    <col min="17" max="17" width="12.5703125" style="43" customWidth="1"/>
    <col min="18" max="19" width="2.7109375" style="2" customWidth="1"/>
    <col min="20" max="34" width="13.7109375" style="2" customWidth="1"/>
    <col min="35" max="16384" width="9.140625" style="2"/>
  </cols>
  <sheetData>
    <row r="1" spans="1:20" ht="12.75" customHeight="1" x14ac:dyDescent="0.25">
      <c r="A1" s="9"/>
    </row>
    <row r="2" spans="1:20" s="25" customFormat="1" ht="18" x14ac:dyDescent="0.25">
      <c r="B2" s="25" t="s">
        <v>160</v>
      </c>
      <c r="L2" s="42"/>
      <c r="M2" s="42"/>
      <c r="N2" s="42"/>
      <c r="O2" s="42"/>
      <c r="P2" s="42"/>
      <c r="Q2" s="42"/>
    </row>
    <row r="4" spans="1:20" ht="12.75" customHeight="1" x14ac:dyDescent="0.25">
      <c r="B4" s="1" t="s">
        <v>59</v>
      </c>
      <c r="C4" s="1"/>
      <c r="D4" s="1"/>
      <c r="J4" s="36"/>
    </row>
    <row r="5" spans="1:20" ht="12.75" customHeight="1" x14ac:dyDescent="0.25">
      <c r="B5" s="32"/>
      <c r="C5" s="3"/>
      <c r="D5" s="3"/>
      <c r="H5" s="26"/>
    </row>
    <row r="6" spans="1:20" s="38" customFormat="1" ht="12.75" customHeight="1" x14ac:dyDescent="0.2">
      <c r="B6" s="38" t="s">
        <v>161</v>
      </c>
    </row>
    <row r="7" spans="1:20" s="38" customFormat="1" ht="12.75" customHeight="1" x14ac:dyDescent="0.2">
      <c r="B7" s="154" t="s">
        <v>292</v>
      </c>
    </row>
    <row r="8" spans="1:20" s="38" customFormat="1" ht="12.75" customHeight="1" x14ac:dyDescent="0.2">
      <c r="B8" s="154" t="s">
        <v>275</v>
      </c>
    </row>
    <row r="9" spans="1:20" s="38" customFormat="1" ht="12.75" customHeight="1" x14ac:dyDescent="0.2">
      <c r="B9" s="38" t="s">
        <v>162</v>
      </c>
    </row>
    <row r="10" spans="1:20" s="38" customFormat="1" ht="12.75" customHeight="1" x14ac:dyDescent="0.2">
      <c r="B10" s="38" t="s">
        <v>163</v>
      </c>
    </row>
    <row r="11" spans="1:20" s="38" customFormat="1" ht="12.75" customHeight="1" x14ac:dyDescent="0.2">
      <c r="B11" s="166" t="s">
        <v>324</v>
      </c>
    </row>
    <row r="12" spans="1:20" s="38" customFormat="1" ht="12.75" customHeight="1" x14ac:dyDescent="0.2">
      <c r="B12" s="155" t="s">
        <v>277</v>
      </c>
    </row>
    <row r="13" spans="1:20" s="38" customFormat="1" ht="12.75" customHeight="1" x14ac:dyDescent="0.2">
      <c r="B13" s="155" t="s">
        <v>278</v>
      </c>
    </row>
    <row r="14" spans="1:20" s="83" customFormat="1" ht="12.75" customHeight="1" x14ac:dyDescent="0.2">
      <c r="B14" s="166" t="s">
        <v>325</v>
      </c>
    </row>
    <row r="16" spans="1:20" s="8" customFormat="1" ht="12.75" customHeight="1" x14ac:dyDescent="0.25">
      <c r="B16" s="8" t="s">
        <v>46</v>
      </c>
      <c r="F16" s="8" t="s">
        <v>28</v>
      </c>
      <c r="H16" s="8" t="s">
        <v>29</v>
      </c>
      <c r="J16" s="8" t="s">
        <v>50</v>
      </c>
      <c r="L16" s="44" t="s">
        <v>151</v>
      </c>
      <c r="M16" s="44" t="s">
        <v>66</v>
      </c>
      <c r="N16" s="44" t="s">
        <v>67</v>
      </c>
      <c r="O16" s="44" t="s">
        <v>68</v>
      </c>
      <c r="P16" s="44" t="s">
        <v>69</v>
      </c>
      <c r="Q16" s="44" t="s">
        <v>70</v>
      </c>
      <c r="T16" s="8" t="s">
        <v>48</v>
      </c>
    </row>
    <row r="19" spans="2:20" s="8" customFormat="1" x14ac:dyDescent="0.25">
      <c r="B19" s="8" t="s">
        <v>189</v>
      </c>
    </row>
    <row r="21" spans="2:20" ht="12.75" customHeight="1" x14ac:dyDescent="0.2">
      <c r="B21" s="2" t="s">
        <v>279</v>
      </c>
      <c r="F21" s="2" t="s">
        <v>157</v>
      </c>
      <c r="L21" s="121">
        <f>'Input richtbedragen'!L19</f>
        <v>769242.18</v>
      </c>
      <c r="M21" s="121">
        <f>'Input richtbedragen'!M19</f>
        <v>15016039.463333836</v>
      </c>
      <c r="N21" s="121">
        <f>'Input richtbedragen'!N19</f>
        <v>14569319.921730017</v>
      </c>
      <c r="O21" s="121">
        <f>'Input richtbedragen'!O19</f>
        <v>467099.73</v>
      </c>
      <c r="P21" s="121">
        <f>'Input richtbedragen'!P19</f>
        <v>18469509.922668725</v>
      </c>
      <c r="Q21" s="121">
        <f>'Input richtbedragen'!Q19</f>
        <v>843720.79000000015</v>
      </c>
    </row>
    <row r="22" spans="2:20" ht="12.75" customHeight="1" x14ac:dyDescent="0.25">
      <c r="B22" s="2" t="s">
        <v>280</v>
      </c>
      <c r="F22" s="2" t="s">
        <v>156</v>
      </c>
      <c r="L22" s="161">
        <f>'Input richtbedragen'!L20</f>
        <v>861614.67</v>
      </c>
      <c r="M22" s="161">
        <f>'Input richtbedragen'!M20</f>
        <v>11062617.670001786</v>
      </c>
      <c r="N22" s="161">
        <f>'Input richtbedragen'!N20</f>
        <v>14310881.359999999</v>
      </c>
      <c r="O22" s="161">
        <f>'Input richtbedragen'!O20</f>
        <v>410165.5</v>
      </c>
      <c r="P22" s="161">
        <f>'Input richtbedragen'!P20</f>
        <v>12631235.475707857</v>
      </c>
      <c r="Q22" s="161">
        <f>'Input richtbedragen'!Q20</f>
        <v>1079167.51</v>
      </c>
    </row>
    <row r="23" spans="2:20" ht="12.75" customHeight="1" x14ac:dyDescent="0.25">
      <c r="B23" s="2" t="s">
        <v>281</v>
      </c>
      <c r="F23" s="2" t="s">
        <v>181</v>
      </c>
      <c r="L23" s="94">
        <f>'Input richtbedragen'!L21</f>
        <v>411570.22000000003</v>
      </c>
      <c r="M23" s="94">
        <f>'Input richtbedragen'!M21</f>
        <v>6661906.4299997473</v>
      </c>
      <c r="N23" s="94">
        <f>'Input richtbedragen'!N21</f>
        <v>9287762.9469170291</v>
      </c>
      <c r="O23" s="94">
        <f>'Input richtbedragen'!O21</f>
        <v>194478.21000000002</v>
      </c>
      <c r="P23" s="94">
        <f>'Input richtbedragen'!P21</f>
        <v>5870595.3378073797</v>
      </c>
      <c r="Q23" s="94">
        <f>'Input richtbedragen'!Q21</f>
        <v>673511.5</v>
      </c>
      <c r="T23" s="167"/>
    </row>
    <row r="24" spans="2:20" ht="12.75" customHeight="1" x14ac:dyDescent="0.25">
      <c r="T24" s="167"/>
    </row>
    <row r="25" spans="2:20" ht="12.75" customHeight="1" x14ac:dyDescent="0.25">
      <c r="B25" s="2" t="s">
        <v>345</v>
      </c>
      <c r="F25" s="2" t="s">
        <v>127</v>
      </c>
      <c r="H25" s="113">
        <f>'Input richtbedragen'!H23</f>
        <v>2.5441281586564557E-3</v>
      </c>
    </row>
    <row r="26" spans="2:20" ht="12.75" customHeight="1" x14ac:dyDescent="0.25">
      <c r="B26" s="2" t="s">
        <v>346</v>
      </c>
      <c r="F26" s="2" t="s">
        <v>127</v>
      </c>
      <c r="H26" s="113">
        <f>'Input richtbedragen'!H24</f>
        <v>-3.1175556579387642E-2</v>
      </c>
    </row>
    <row r="27" spans="2:20" s="9" customFormat="1" ht="12.75" customHeight="1" x14ac:dyDescent="0.25">
      <c r="H27" s="163"/>
      <c r="L27" s="165"/>
      <c r="M27" s="165"/>
      <c r="N27" s="165"/>
      <c r="O27" s="165"/>
      <c r="P27" s="165"/>
      <c r="Q27" s="165"/>
    </row>
    <row r="28" spans="2:20" ht="12.75" customHeight="1" x14ac:dyDescent="0.25">
      <c r="B28" s="2" t="s">
        <v>282</v>
      </c>
      <c r="F28" s="2" t="s">
        <v>127</v>
      </c>
      <c r="H28" s="101">
        <f>'Input richtbedragen'!H26</f>
        <v>1.7999999999999999E-2</v>
      </c>
    </row>
    <row r="30" spans="2:20" ht="12.75" customHeight="1" x14ac:dyDescent="0.25">
      <c r="B30" s="2" t="s">
        <v>302</v>
      </c>
      <c r="F30" s="2" t="s">
        <v>192</v>
      </c>
      <c r="L30" s="94">
        <f>'Input richtbedragen'!L28</f>
        <v>5366761.6094966186</v>
      </c>
      <c r="M30" s="94">
        <f>'Input richtbedragen'!M28</f>
        <v>87846873.936846554</v>
      </c>
      <c r="N30" s="94">
        <f>'Input richtbedragen'!N28</f>
        <v>99159430.212113366</v>
      </c>
      <c r="O30" s="94">
        <f>'Input richtbedragen'!O28</f>
        <v>3897615.7385375402</v>
      </c>
      <c r="P30" s="94">
        <f>'Input richtbedragen'!P28</f>
        <v>77383281.346611738</v>
      </c>
      <c r="Q30" s="94">
        <f>'Input richtbedragen'!Q28</f>
        <v>3574209.1692982111</v>
      </c>
    </row>
    <row r="31" spans="2:20" ht="12.75" customHeight="1" x14ac:dyDescent="0.25">
      <c r="B31" s="2" t="s">
        <v>283</v>
      </c>
      <c r="F31" s="2" t="s">
        <v>284</v>
      </c>
      <c r="L31" s="94">
        <f>'Input richtbedragen'!L29</f>
        <v>6213887.0325115314</v>
      </c>
      <c r="M31" s="94">
        <f>'Input richtbedragen'!M29</f>
        <v>101713210.03655435</v>
      </c>
      <c r="N31" s="94">
        <f>'Input richtbedragen'!N29</f>
        <v>114811415.59482783</v>
      </c>
      <c r="O31" s="94">
        <f>'Input richtbedragen'!O29</f>
        <v>4512841.3851203192</v>
      </c>
      <c r="P31" s="94">
        <f>'Input richtbedragen'!P29</f>
        <v>89597974.249876201</v>
      </c>
      <c r="Q31" s="94">
        <f>'Input richtbedragen'!Q29</f>
        <v>4138386.167420832</v>
      </c>
    </row>
    <row r="33" spans="2:20" ht="12.75" customHeight="1" x14ac:dyDescent="0.25">
      <c r="B33" s="2" t="s">
        <v>303</v>
      </c>
      <c r="F33" s="2" t="s">
        <v>192</v>
      </c>
      <c r="H33" s="94">
        <f>'Input richtbedragen'!H31</f>
        <v>24119144.337028138</v>
      </c>
    </row>
    <row r="35" spans="2:20" s="8" customFormat="1" x14ac:dyDescent="0.25">
      <c r="B35" s="8" t="s">
        <v>190</v>
      </c>
    </row>
    <row r="37" spans="2:20" ht="12.75" customHeight="1" x14ac:dyDescent="0.25">
      <c r="B37" s="2" t="s">
        <v>304</v>
      </c>
      <c r="F37" s="2" t="s">
        <v>192</v>
      </c>
      <c r="L37" s="94">
        <f>'Input richtbedragen'!L35</f>
        <v>16933417.709129997</v>
      </c>
      <c r="M37" s="94">
        <f>'Input richtbedragen'!M35</f>
        <v>275840690.88902247</v>
      </c>
      <c r="N37" s="94">
        <f>'Input richtbedragen'!N35</f>
        <v>295221517.93003929</v>
      </c>
      <c r="O37" s="94">
        <f>'Input richtbedragen'!O35</f>
        <v>12440091.999540709</v>
      </c>
      <c r="P37" s="94">
        <f>'Input richtbedragen'!P35</f>
        <v>243278159.56289276</v>
      </c>
      <c r="Q37" s="94">
        <f>'Input richtbedragen'!Q35</f>
        <v>15387511.108654488</v>
      </c>
    </row>
    <row r="38" spans="2:20" ht="12.75" customHeight="1" x14ac:dyDescent="0.25">
      <c r="B38" s="2" t="s">
        <v>305</v>
      </c>
      <c r="F38" s="2" t="s">
        <v>192</v>
      </c>
      <c r="L38" s="65">
        <f>L30-L39</f>
        <v>4937030.1421077689</v>
      </c>
      <c r="M38" s="65">
        <f t="shared" ref="M38:Q38" si="0">M30-M39</f>
        <v>80890999.369996205</v>
      </c>
      <c r="N38" s="65">
        <f t="shared" si="0"/>
        <v>89461828.670538172</v>
      </c>
      <c r="O38" s="65">
        <f t="shared" si="0"/>
        <v>3694555.8413504772</v>
      </c>
      <c r="P38" s="65">
        <f t="shared" si="0"/>
        <v>71253635.841739923</v>
      </c>
      <c r="Q38" s="65">
        <f t="shared" si="0"/>
        <v>2870977.8101433497</v>
      </c>
    </row>
    <row r="39" spans="2:20" ht="12.75" customHeight="1" x14ac:dyDescent="0.25">
      <c r="B39" s="157" t="s">
        <v>306</v>
      </c>
      <c r="F39" s="2" t="s">
        <v>192</v>
      </c>
      <c r="L39" s="65">
        <f>$H$33*SUM(L23)/SUM($L$23:$Q$23)</f>
        <v>429731.46738884971</v>
      </c>
      <c r="M39" s="65">
        <f>$H$33*SUM(M23)/SUM($L$23:$Q$23)</f>
        <v>6955874.566850353</v>
      </c>
      <c r="N39" s="65">
        <f t="shared" ref="N39:P39" si="1">$H$33*SUM(N23)/SUM($L$23:$Q$23)</f>
        <v>9697601.5415751934</v>
      </c>
      <c r="O39" s="65">
        <f t="shared" si="1"/>
        <v>203059.89718706292</v>
      </c>
      <c r="P39" s="65">
        <f t="shared" si="1"/>
        <v>6129645.5048718173</v>
      </c>
      <c r="Q39" s="65">
        <f>$H$33*SUM(Q23)/SUM($L$23:$Q$23)</f>
        <v>703231.35915486119</v>
      </c>
      <c r="T39" s="167"/>
    </row>
    <row r="40" spans="2:20" ht="12.75" customHeight="1" x14ac:dyDescent="0.25">
      <c r="B40" s="2" t="s">
        <v>307</v>
      </c>
      <c r="F40" s="2" t="s">
        <v>192</v>
      </c>
      <c r="L40" s="65">
        <f>SUM(L37:L39)</f>
        <v>22300179.318626616</v>
      </c>
      <c r="M40" s="65">
        <f t="shared" ref="M40:Q40" si="2">SUM(M37:M39)</f>
        <v>363687564.82586902</v>
      </c>
      <c r="N40" s="65">
        <f t="shared" si="2"/>
        <v>394380948.14215267</v>
      </c>
      <c r="O40" s="65">
        <f t="shared" si="2"/>
        <v>16337707.73807825</v>
      </c>
      <c r="P40" s="65">
        <f t="shared" si="2"/>
        <v>320661440.90950453</v>
      </c>
      <c r="Q40" s="65">
        <f t="shared" si="2"/>
        <v>18961720.277952697</v>
      </c>
    </row>
    <row r="42" spans="2:20" ht="12.75" customHeight="1" x14ac:dyDescent="0.2">
      <c r="B42" s="77" t="s">
        <v>293</v>
      </c>
      <c r="F42" s="77" t="s">
        <v>284</v>
      </c>
      <c r="H42" s="65">
        <f>H33*(1-H26)^5*(1+H28)^5</f>
        <v>30744245.211121149</v>
      </c>
    </row>
    <row r="44" spans="2:20" ht="12.75" customHeight="1" x14ac:dyDescent="0.25">
      <c r="B44" s="2" t="s">
        <v>285</v>
      </c>
      <c r="F44" s="2" t="s">
        <v>284</v>
      </c>
      <c r="L44" s="94">
        <f>'Input richtbedragen'!L36</f>
        <v>15736099.986676268</v>
      </c>
      <c r="M44" s="94">
        <f>'Input richtbedragen'!M36</f>
        <v>256463736.29915431</v>
      </c>
      <c r="N44" s="94">
        <f>'Input richtbedragen'!N36</f>
        <v>274468729.11249799</v>
      </c>
      <c r="O44" s="94">
        <f>'Input richtbedragen'!O36</f>
        <v>11564759.554851262</v>
      </c>
      <c r="P44" s="94">
        <f>'Input richtbedragen'!P36</f>
        <v>226183478.42174256</v>
      </c>
      <c r="Q44" s="94">
        <f>'Input richtbedragen'!Q36</f>
        <v>14353071.067403972</v>
      </c>
    </row>
    <row r="45" spans="2:20" ht="12.75" customHeight="1" x14ac:dyDescent="0.25">
      <c r="B45" s="2" t="s">
        <v>294</v>
      </c>
      <c r="F45" s="2" t="s">
        <v>284</v>
      </c>
      <c r="L45" s="65">
        <f t="shared" ref="L45:Q45" si="3">L31-L46</f>
        <v>5666115.9580603223</v>
      </c>
      <c r="M45" s="65">
        <f t="shared" si="3"/>
        <v>92846680.181565374</v>
      </c>
      <c r="N45" s="65">
        <f t="shared" si="3"/>
        <v>102450055.0263181</v>
      </c>
      <c r="O45" s="65">
        <f t="shared" si="3"/>
        <v>4254004.5381563967</v>
      </c>
      <c r="P45" s="65">
        <f t="shared" si="3"/>
        <v>81784623.915979326</v>
      </c>
      <c r="Q45" s="65">
        <f t="shared" si="3"/>
        <v>3241989.6351103899</v>
      </c>
    </row>
    <row r="46" spans="2:20" ht="12.75" customHeight="1" x14ac:dyDescent="0.25">
      <c r="B46" s="157" t="s">
        <v>295</v>
      </c>
      <c r="F46" s="2" t="s">
        <v>284</v>
      </c>
      <c r="L46" s="65">
        <f>$H$42*SUM(L23)/SUM($L$23:$Q$23)</f>
        <v>547771.0744512094</v>
      </c>
      <c r="M46" s="65">
        <f t="shared" ref="M46:Q46" si="4">$H$42*SUM(M23)/SUM($L$23:$Q$23)</f>
        <v>8866529.8549889792</v>
      </c>
      <c r="N46" s="65">
        <f t="shared" si="4"/>
        <v>12361360.568509722</v>
      </c>
      <c r="O46" s="65">
        <f t="shared" si="4"/>
        <v>258836.84696392258</v>
      </c>
      <c r="P46" s="65">
        <f t="shared" si="4"/>
        <v>7813350.3338968726</v>
      </c>
      <c r="Q46" s="65">
        <f t="shared" si="4"/>
        <v>896396.53231044207</v>
      </c>
    </row>
    <row r="47" spans="2:20" ht="12.75" customHeight="1" x14ac:dyDescent="0.25">
      <c r="B47" s="2" t="s">
        <v>296</v>
      </c>
      <c r="F47" s="2" t="s">
        <v>284</v>
      </c>
      <c r="L47" s="65">
        <f t="shared" ref="L47:Q47" si="5">SUM(L44:L46)</f>
        <v>21949987.019187801</v>
      </c>
      <c r="M47" s="65">
        <f t="shared" si="5"/>
        <v>358176946.33570868</v>
      </c>
      <c r="N47" s="65">
        <f t="shared" si="5"/>
        <v>389280144.70732582</v>
      </c>
      <c r="O47" s="65">
        <f t="shared" si="5"/>
        <v>16077600.939971581</v>
      </c>
      <c r="P47" s="65">
        <f t="shared" si="5"/>
        <v>315781452.67161876</v>
      </c>
      <c r="Q47" s="65">
        <f t="shared" si="5"/>
        <v>18491457.234824803</v>
      </c>
    </row>
    <row r="49" spans="2:17" s="8" customFormat="1" x14ac:dyDescent="0.25">
      <c r="B49" s="8" t="s">
        <v>191</v>
      </c>
    </row>
    <row r="51" spans="2:17" ht="12.75" customHeight="1" x14ac:dyDescent="0.25">
      <c r="B51" s="2" t="s">
        <v>308</v>
      </c>
      <c r="F51" s="2" t="s">
        <v>127</v>
      </c>
      <c r="L51" s="102">
        <f>L37/L$40</f>
        <v>0.75933997961110844</v>
      </c>
      <c r="M51" s="102">
        <f t="shared" ref="L51:Q53" si="6">M37/M$40</f>
        <v>0.75845510698473562</v>
      </c>
      <c r="N51" s="102">
        <f t="shared" si="6"/>
        <v>0.74856942081195099</v>
      </c>
      <c r="O51" s="102">
        <f t="shared" si="6"/>
        <v>0.76143435780446855</v>
      </c>
      <c r="P51" s="102">
        <f t="shared" si="6"/>
        <v>0.75867606305539403</v>
      </c>
      <c r="Q51" s="102">
        <f t="shared" si="6"/>
        <v>0.81150396077437981</v>
      </c>
    </row>
    <row r="52" spans="2:17" ht="12.75" customHeight="1" x14ac:dyDescent="0.25">
      <c r="B52" s="2" t="s">
        <v>309</v>
      </c>
      <c r="F52" s="2" t="s">
        <v>127</v>
      </c>
      <c r="L52" s="102">
        <f t="shared" si="6"/>
        <v>0.22138970595559418</v>
      </c>
      <c r="M52" s="102">
        <f t="shared" si="6"/>
        <v>0.22241893095444776</v>
      </c>
      <c r="N52" s="102">
        <f t="shared" si="6"/>
        <v>0.22684115217019077</v>
      </c>
      <c r="O52" s="102">
        <f t="shared" si="6"/>
        <v>0.22613673231157064</v>
      </c>
      <c r="P52" s="102">
        <f t="shared" si="6"/>
        <v>0.22220830680371317</v>
      </c>
      <c r="Q52" s="102">
        <f t="shared" si="6"/>
        <v>0.15140914263362026</v>
      </c>
    </row>
    <row r="53" spans="2:17" ht="12.75" customHeight="1" x14ac:dyDescent="0.25">
      <c r="B53" s="2" t="s">
        <v>310</v>
      </c>
      <c r="F53" s="2" t="s">
        <v>127</v>
      </c>
      <c r="L53" s="102">
        <f t="shared" si="6"/>
        <v>1.9270314433297357E-2</v>
      </c>
      <c r="M53" s="102">
        <f t="shared" si="6"/>
        <v>1.9125962060816612E-2</v>
      </c>
      <c r="N53" s="102">
        <f t="shared" si="6"/>
        <v>2.4589427017858229E-2</v>
      </c>
      <c r="O53" s="102">
        <f t="shared" si="6"/>
        <v>1.2428909883960759E-2</v>
      </c>
      <c r="P53" s="102">
        <f t="shared" si="6"/>
        <v>1.911563014089273E-2</v>
      </c>
      <c r="Q53" s="102">
        <f t="shared" si="6"/>
        <v>3.7086896591999999E-2</v>
      </c>
    </row>
    <row r="55" spans="2:17" ht="12.75" customHeight="1" x14ac:dyDescent="0.25">
      <c r="B55" s="2" t="s">
        <v>297</v>
      </c>
      <c r="F55" s="2" t="s">
        <v>127</v>
      </c>
      <c r="L55" s="102">
        <f t="shared" ref="L55:Q57" si="7">L44/L$47</f>
        <v>0.71690702928071892</v>
      </c>
      <c r="M55" s="102">
        <f t="shared" si="7"/>
        <v>0.71602524652376265</v>
      </c>
      <c r="N55" s="102">
        <f t="shared" si="7"/>
        <v>0.70506737331505309</v>
      </c>
      <c r="O55" s="102">
        <f t="shared" si="7"/>
        <v>0.7193087823258103</v>
      </c>
      <c r="P55" s="102">
        <f t="shared" si="7"/>
        <v>0.71626587473125225</v>
      </c>
      <c r="Q55" s="102">
        <f t="shared" si="7"/>
        <v>0.77620010608860812</v>
      </c>
    </row>
    <row r="56" spans="2:17" ht="12.75" customHeight="1" x14ac:dyDescent="0.25">
      <c r="B56" s="2" t="s">
        <v>298</v>
      </c>
      <c r="F56" s="2" t="s">
        <v>127</v>
      </c>
      <c r="L56" s="102">
        <f t="shared" si="7"/>
        <v>0.25813755393601057</v>
      </c>
      <c r="M56" s="102">
        <f t="shared" si="7"/>
        <v>0.2592201456051918</v>
      </c>
      <c r="N56" s="102">
        <f t="shared" si="7"/>
        <v>0.26317821861514046</v>
      </c>
      <c r="O56" s="102">
        <f t="shared" si="7"/>
        <v>0.26459199690547341</v>
      </c>
      <c r="P56" s="102">
        <f t="shared" si="7"/>
        <v>0.25899122074476993</v>
      </c>
      <c r="Q56" s="102">
        <f t="shared" si="7"/>
        <v>0.17532364236847589</v>
      </c>
    </row>
    <row r="57" spans="2:17" ht="12.75" customHeight="1" x14ac:dyDescent="0.25">
      <c r="B57" s="2" t="s">
        <v>299</v>
      </c>
      <c r="F57" s="2" t="s">
        <v>127</v>
      </c>
      <c r="L57" s="102">
        <f t="shared" si="7"/>
        <v>2.4955416783270526E-2</v>
      </c>
      <c r="M57" s="102">
        <f t="shared" si="7"/>
        <v>2.4754607871045511E-2</v>
      </c>
      <c r="N57" s="102">
        <f t="shared" si="7"/>
        <v>3.1754408069806429E-2</v>
      </c>
      <c r="O57" s="102">
        <f t="shared" si="7"/>
        <v>1.6099220768716262E-2</v>
      </c>
      <c r="P57" s="102">
        <f t="shared" si="7"/>
        <v>2.4742904523977784E-2</v>
      </c>
      <c r="Q57" s="102">
        <f t="shared" si="7"/>
        <v>4.847625154291605E-2</v>
      </c>
    </row>
    <row r="59" spans="2:17" ht="12.75" customHeight="1" x14ac:dyDescent="0.25">
      <c r="B59" s="2" t="s">
        <v>311</v>
      </c>
      <c r="F59" s="2" t="s">
        <v>127</v>
      </c>
      <c r="L59" s="102">
        <f>(4/5)*L51+(1/5)*L55</f>
        <v>0.75085338954503056</v>
      </c>
      <c r="M59" s="102">
        <f t="shared" ref="M59:Q59" si="8">(4/5)*M51+(1/5)*M55</f>
        <v>0.74996913489254102</v>
      </c>
      <c r="N59" s="102">
        <f t="shared" si="8"/>
        <v>0.73986901131257143</v>
      </c>
      <c r="O59" s="102">
        <f t="shared" si="8"/>
        <v>0.75300924270873693</v>
      </c>
      <c r="P59" s="102">
        <f t="shared" si="8"/>
        <v>0.75019402539056568</v>
      </c>
      <c r="Q59" s="102">
        <f t="shared" si="8"/>
        <v>0.80444318983722551</v>
      </c>
    </row>
    <row r="60" spans="2:17" ht="12.75" customHeight="1" x14ac:dyDescent="0.25">
      <c r="B60" s="2" t="s">
        <v>312</v>
      </c>
      <c r="F60" s="2" t="s">
        <v>127</v>
      </c>
      <c r="L60" s="102">
        <f t="shared" ref="L60:Q61" si="9">(4/5)*L52+(1/5)*L56</f>
        <v>0.22873927555167747</v>
      </c>
      <c r="M60" s="102">
        <f t="shared" si="9"/>
        <v>0.22977917388459657</v>
      </c>
      <c r="N60" s="102">
        <f t="shared" si="9"/>
        <v>0.23410856545918071</v>
      </c>
      <c r="O60" s="102">
        <f t="shared" si="9"/>
        <v>0.23382778523035122</v>
      </c>
      <c r="P60" s="102">
        <f t="shared" si="9"/>
        <v>0.22956488959192453</v>
      </c>
      <c r="Q60" s="102">
        <f t="shared" si="9"/>
        <v>0.15619204258059138</v>
      </c>
    </row>
    <row r="61" spans="2:17" ht="12.75" customHeight="1" x14ac:dyDescent="0.25">
      <c r="B61" s="2" t="s">
        <v>313</v>
      </c>
      <c r="F61" s="2" t="s">
        <v>127</v>
      </c>
      <c r="L61" s="102">
        <f t="shared" si="9"/>
        <v>2.0407334903291992E-2</v>
      </c>
      <c r="M61" s="102">
        <f t="shared" si="9"/>
        <v>2.025169122286239E-2</v>
      </c>
      <c r="N61" s="102">
        <f t="shared" si="9"/>
        <v>2.6022423228247871E-2</v>
      </c>
      <c r="O61" s="102">
        <f t="shared" si="9"/>
        <v>1.3162972060911859E-2</v>
      </c>
      <c r="P61" s="102">
        <f t="shared" si="9"/>
        <v>2.0241085017509743E-2</v>
      </c>
      <c r="Q61" s="102">
        <f t="shared" si="9"/>
        <v>3.9364767582183213E-2</v>
      </c>
    </row>
    <row r="63" spans="2:17" s="8" customFormat="1" x14ac:dyDescent="0.25">
      <c r="B63" s="8" t="s">
        <v>160</v>
      </c>
    </row>
    <row r="65" spans="2:20" ht="12.75" customHeight="1" x14ac:dyDescent="0.2">
      <c r="B65" s="2" t="s">
        <v>320</v>
      </c>
      <c r="F65" s="83" t="s">
        <v>241</v>
      </c>
      <c r="L65" s="94">
        <f>'TI-berekening 2022'!L17</f>
        <v>22364849.838650633</v>
      </c>
      <c r="M65" s="94">
        <f>'TI-berekening 2022'!M17</f>
        <v>364778627.52034658</v>
      </c>
      <c r="N65" s="94">
        <f>'TI-berekening 2022'!N17</f>
        <v>395721843.36583602</v>
      </c>
      <c r="O65" s="94">
        <f>'TI-berekening 2022'!O17</f>
        <v>16383453.319744868</v>
      </c>
      <c r="P65" s="94">
        <f>'TI-berekening 2022'!P17</f>
        <v>321623425.23223299</v>
      </c>
      <c r="Q65" s="94">
        <f>'TI-berekening 2022'!Q17</f>
        <v>18980681.998230651</v>
      </c>
    </row>
    <row r="66" spans="2:20" ht="12.75" customHeight="1" x14ac:dyDescent="0.2">
      <c r="F66" s="83"/>
    </row>
    <row r="67" spans="2:20" ht="12.75" customHeight="1" x14ac:dyDescent="0.2">
      <c r="B67" s="2" t="s">
        <v>224</v>
      </c>
      <c r="F67" s="83" t="s">
        <v>241</v>
      </c>
      <c r="L67" s="94">
        <f>'TI-berekening 2022'!L21</f>
        <v>-734.22227913739982</v>
      </c>
      <c r="M67" s="94">
        <f>'TI-berekening 2022'!M21</f>
        <v>-42441.57922256949</v>
      </c>
      <c r="N67" s="94">
        <f>'TI-berekening 2022'!N21</f>
        <v>30577515.694479015</v>
      </c>
      <c r="O67" s="94">
        <f>'TI-berekening 2022'!O21</f>
        <v>-2231327.2990524406</v>
      </c>
      <c r="P67" s="94">
        <f>'TI-berekening 2022'!P21</f>
        <v>6288737.5692573711</v>
      </c>
      <c r="Q67" s="94">
        <f>'TI-berekening 2022'!Q21</f>
        <v>21912.822596204915</v>
      </c>
    </row>
    <row r="68" spans="2:20" x14ac:dyDescent="0.2">
      <c r="B68" s="2" t="s">
        <v>242</v>
      </c>
      <c r="F68" s="2" t="s">
        <v>241</v>
      </c>
      <c r="L68" s="121"/>
      <c r="M68" s="121"/>
      <c r="N68" s="121"/>
      <c r="O68" s="94">
        <f>'TI-berekening 2022'!O22</f>
        <v>2025312.9885951495</v>
      </c>
      <c r="P68" s="121"/>
      <c r="Q68" s="121"/>
    </row>
    <row r="69" spans="2:20" ht="12.75" customHeight="1" x14ac:dyDescent="0.2">
      <c r="B69" s="2" t="s">
        <v>300</v>
      </c>
      <c r="F69" s="83" t="s">
        <v>241</v>
      </c>
      <c r="L69" s="94">
        <f>'TI-berekening 2022'!L23</f>
        <v>540.271254</v>
      </c>
      <c r="M69" s="94">
        <f>'TI-berekening 2022'!M23</f>
        <v>271983.57465480635</v>
      </c>
      <c r="N69" s="94">
        <f>'TI-berekening 2022'!N23</f>
        <v>66100.233000000007</v>
      </c>
      <c r="O69" s="94">
        <f>'TI-berekening 2022'!O23</f>
        <v>16726.26498</v>
      </c>
      <c r="P69" s="94">
        <f>'TI-berekening 2022'!P23</f>
        <v>15962.135083644107</v>
      </c>
      <c r="Q69" s="94">
        <f>'TI-berekening 2022'!Q23</f>
        <v>0</v>
      </c>
    </row>
    <row r="71" spans="2:20" ht="12.75" customHeight="1" x14ac:dyDescent="0.2">
      <c r="B71" s="2" t="s">
        <v>321</v>
      </c>
      <c r="F71" s="83" t="s">
        <v>241</v>
      </c>
      <c r="L71" s="65">
        <f>SUM(L65,L67:L69)</f>
        <v>22364655.887625493</v>
      </c>
      <c r="M71" s="65">
        <f t="shared" ref="M71:Q71" si="10">SUM(M65,M67:M69)</f>
        <v>365008169.51577884</v>
      </c>
      <c r="N71" s="65">
        <f t="shared" si="10"/>
        <v>426365459.29331499</v>
      </c>
      <c r="O71" s="65">
        <f t="shared" si="10"/>
        <v>16194165.274267577</v>
      </c>
      <c r="P71" s="65">
        <f t="shared" si="10"/>
        <v>327928124.93657398</v>
      </c>
      <c r="Q71" s="65">
        <f t="shared" si="10"/>
        <v>19002594.820826855</v>
      </c>
    </row>
    <row r="73" spans="2:20" ht="12.75" customHeight="1" x14ac:dyDescent="0.2">
      <c r="B73" s="2" t="s">
        <v>301</v>
      </c>
      <c r="F73" s="83" t="s">
        <v>241</v>
      </c>
      <c r="L73" s="110">
        <f>L59*L$71</f>
        <v>16792577.679231826</v>
      </c>
      <c r="M73" s="110">
        <f t="shared" ref="M73:Q73" si="11">M59*M$71</f>
        <v>273744861.1204586</v>
      </c>
      <c r="N73" s="109">
        <f>N59*(N$71-N$67)+N67</f>
        <v>323408750.21438557</v>
      </c>
      <c r="O73" s="110">
        <f t="shared" si="11"/>
        <v>12194356.129476354</v>
      </c>
      <c r="P73" s="109">
        <f>P59*(P$71-P$67)+P67</f>
        <v>247580684.30250007</v>
      </c>
      <c r="Q73" s="110">
        <f t="shared" si="11"/>
        <v>15286507.992850296</v>
      </c>
      <c r="T73" s="2" t="s">
        <v>362</v>
      </c>
    </row>
    <row r="74" spans="2:20" ht="12.75" customHeight="1" x14ac:dyDescent="0.2">
      <c r="B74" s="2" t="s">
        <v>314</v>
      </c>
      <c r="F74" s="83" t="s">
        <v>241</v>
      </c>
      <c r="L74" s="110">
        <f>L60*L$71</f>
        <v>5115675.1856980138</v>
      </c>
      <c r="M74" s="110">
        <f t="shared" ref="L74:Q75" si="12">M60*M$71</f>
        <v>83871275.652464449</v>
      </c>
      <c r="N74" s="109">
        <f>N60*(N$71-N$67)</f>
        <v>92657347.70196262</v>
      </c>
      <c r="O74" s="110">
        <f t="shared" si="12"/>
        <v>3786645.7997362507</v>
      </c>
      <c r="P74" s="109">
        <f>P60*(P$71-P$67)</f>
        <v>73837110.449392289</v>
      </c>
      <c r="Q74" s="110">
        <f t="shared" si="12"/>
        <v>2968054.0993963135</v>
      </c>
    </row>
    <row r="75" spans="2:20" ht="12.75" customHeight="1" x14ac:dyDescent="0.2">
      <c r="B75" s="2" t="s">
        <v>315</v>
      </c>
      <c r="F75" s="83" t="s">
        <v>241</v>
      </c>
      <c r="L75" s="110">
        <f t="shared" si="12"/>
        <v>456403.02269565448</v>
      </c>
      <c r="M75" s="110">
        <f t="shared" si="12"/>
        <v>7392032.7428557659</v>
      </c>
      <c r="N75" s="109">
        <f>N61*(N$71-N$67)</f>
        <v>10299361.376966808</v>
      </c>
      <c r="O75" s="110">
        <f t="shared" si="12"/>
        <v>213163.34505497315</v>
      </c>
      <c r="P75" s="109">
        <f>P61*(P$71-P$67)</f>
        <v>6510330.1846816046</v>
      </c>
      <c r="Q75" s="110">
        <f t="shared" si="12"/>
        <v>748032.72858024761</v>
      </c>
    </row>
    <row r="76" spans="2:20" ht="12.75" customHeight="1" x14ac:dyDescent="0.2">
      <c r="F76" s="8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C8D9"/>
  </sheetPr>
  <dimension ref="B2:R56"/>
  <sheetViews>
    <sheetView showGridLines="0" zoomScale="85" zoomScaleNormal="85" workbookViewId="0">
      <pane ySplit="3" topLeftCell="A4" activePane="bottomLeft" state="frozen"/>
      <selection activeCell="A4" sqref="A4"/>
      <selection pane="bottomLeft" activeCell="A4" sqref="A4"/>
    </sheetView>
  </sheetViews>
  <sheetFormatPr defaultRowHeight="12.75" x14ac:dyDescent="0.25"/>
  <cols>
    <col min="1" max="7" width="9.140625" style="2" customWidth="1"/>
    <col min="8" max="16384" width="9.140625" style="2"/>
  </cols>
  <sheetData>
    <row r="2" spans="2:18" s="14" customFormat="1" ht="18" x14ac:dyDescent="0.25">
      <c r="B2" s="4" t="s">
        <v>54</v>
      </c>
      <c r="D2" s="34"/>
    </row>
    <row r="4" spans="2:18" s="8" customFormat="1" x14ac:dyDescent="0.25">
      <c r="B4" s="8" t="s">
        <v>15</v>
      </c>
    </row>
    <row r="6" spans="2:18" x14ac:dyDescent="0.2">
      <c r="B6" s="78" t="s">
        <v>217</v>
      </c>
    </row>
    <row r="7" spans="2:18" x14ac:dyDescent="0.2">
      <c r="B7" s="149" t="s">
        <v>218</v>
      </c>
    </row>
    <row r="8" spans="2:18" x14ac:dyDescent="0.2">
      <c r="B8" s="115" t="s">
        <v>219</v>
      </c>
    </row>
    <row r="9" spans="2:18" x14ac:dyDescent="0.2">
      <c r="B9" s="115"/>
    </row>
    <row r="10" spans="2:18" s="8" customFormat="1" x14ac:dyDescent="0.25">
      <c r="B10" s="8" t="s">
        <v>61</v>
      </c>
    </row>
    <row r="12" spans="2:18" s="116" customFormat="1" ht="15" x14ac:dyDescent="0.25"/>
    <row r="13" spans="2:18" s="116" customFormat="1" ht="15" x14ac:dyDescent="0.25">
      <c r="B13" s="117"/>
      <c r="C13" s="117"/>
      <c r="D13" s="117"/>
      <c r="E13" s="117"/>
      <c r="F13" s="117"/>
      <c r="G13" s="117"/>
      <c r="H13" s="117"/>
      <c r="I13" s="117"/>
      <c r="J13" s="117"/>
      <c r="K13" s="117"/>
      <c r="L13" s="117"/>
      <c r="M13" s="117"/>
      <c r="N13" s="117"/>
      <c r="O13" s="117"/>
      <c r="P13" s="117"/>
      <c r="Q13" s="117"/>
      <c r="R13" s="118"/>
    </row>
    <row r="14" spans="2:18" s="116" customFormat="1" ht="15" x14ac:dyDescent="0.25">
      <c r="B14" s="117"/>
      <c r="C14" s="117"/>
      <c r="D14" s="117"/>
      <c r="E14" s="117"/>
      <c r="F14" s="117"/>
      <c r="G14" s="117"/>
      <c r="H14" s="117"/>
      <c r="I14" s="117"/>
      <c r="J14" s="117"/>
      <c r="K14" s="117"/>
      <c r="L14" s="117"/>
      <c r="M14" s="117"/>
      <c r="N14" s="117"/>
      <c r="O14" s="117"/>
      <c r="P14" s="117"/>
      <c r="Q14" s="117"/>
      <c r="R14" s="118"/>
    </row>
    <row r="15" spans="2:18" s="116" customFormat="1" ht="15" x14ac:dyDescent="0.25">
      <c r="B15" s="117"/>
      <c r="C15" s="117"/>
      <c r="D15" s="117"/>
      <c r="E15" s="117"/>
      <c r="F15" s="117"/>
      <c r="G15" s="117"/>
      <c r="H15" s="117"/>
      <c r="I15" s="117"/>
      <c r="J15" s="117"/>
      <c r="K15" s="117"/>
      <c r="L15" s="117"/>
      <c r="M15" s="117"/>
      <c r="N15" s="117"/>
      <c r="O15" s="117"/>
      <c r="P15" s="117"/>
      <c r="Q15" s="117"/>
      <c r="R15" s="118"/>
    </row>
    <row r="16" spans="2:18" s="116" customFormat="1" ht="15" x14ac:dyDescent="0.25">
      <c r="B16" s="117"/>
      <c r="C16" s="117"/>
      <c r="D16" s="117"/>
      <c r="E16" s="117"/>
      <c r="F16" s="117"/>
      <c r="G16" s="117"/>
      <c r="H16" s="117"/>
      <c r="I16" s="117"/>
      <c r="J16" s="117"/>
      <c r="K16" s="117"/>
      <c r="L16" s="117"/>
      <c r="M16" s="117"/>
      <c r="N16" s="117"/>
      <c r="O16" s="117"/>
      <c r="P16" s="117"/>
      <c r="Q16" s="117"/>
      <c r="R16" s="118"/>
    </row>
    <row r="17" spans="2:18" s="116" customFormat="1" ht="15" x14ac:dyDescent="0.25">
      <c r="B17" s="117"/>
      <c r="C17" s="117"/>
      <c r="D17" s="117"/>
      <c r="E17" s="117"/>
      <c r="F17" s="117"/>
      <c r="G17" s="117"/>
      <c r="H17" s="117"/>
      <c r="I17" s="117"/>
      <c r="J17" s="117"/>
      <c r="K17" s="117"/>
      <c r="L17" s="117"/>
      <c r="M17" s="117"/>
      <c r="N17" s="117"/>
      <c r="O17" s="117"/>
      <c r="P17" s="117"/>
      <c r="Q17" s="117"/>
      <c r="R17" s="118"/>
    </row>
    <row r="18" spans="2:18" s="116" customFormat="1" ht="15" x14ac:dyDescent="0.25">
      <c r="B18" s="117"/>
      <c r="C18" s="117"/>
      <c r="D18" s="117"/>
      <c r="E18" s="117"/>
      <c r="F18" s="117"/>
      <c r="G18" s="117"/>
      <c r="H18" s="117"/>
      <c r="I18" s="117"/>
      <c r="J18" s="117"/>
      <c r="K18" s="117"/>
      <c r="L18" s="117"/>
      <c r="M18" s="117"/>
      <c r="N18" s="117"/>
      <c r="O18" s="117"/>
      <c r="P18" s="117"/>
      <c r="Q18" s="117"/>
      <c r="R18" s="118"/>
    </row>
    <row r="19" spans="2:18" s="116" customFormat="1" ht="15" x14ac:dyDescent="0.25">
      <c r="B19" s="117"/>
      <c r="C19" s="117"/>
      <c r="D19" s="117"/>
      <c r="E19" s="117"/>
      <c r="F19" s="117"/>
      <c r="G19" s="117"/>
      <c r="H19" s="117"/>
      <c r="I19" s="117"/>
      <c r="J19" s="117"/>
      <c r="K19" s="117"/>
      <c r="L19" s="117"/>
      <c r="M19" s="117"/>
      <c r="N19" s="117"/>
      <c r="O19" s="117"/>
      <c r="P19" s="117"/>
      <c r="Q19" s="117"/>
      <c r="R19" s="118"/>
    </row>
    <row r="20" spans="2:18" s="116" customFormat="1" ht="15" x14ac:dyDescent="0.25">
      <c r="B20" s="117"/>
      <c r="C20" s="117"/>
      <c r="D20" s="117"/>
      <c r="E20" s="117"/>
      <c r="F20" s="117"/>
      <c r="G20" s="117"/>
      <c r="H20" s="117"/>
      <c r="I20" s="117"/>
      <c r="J20" s="117"/>
      <c r="K20" s="117"/>
      <c r="L20" s="117"/>
      <c r="M20" s="117"/>
      <c r="N20" s="117"/>
      <c r="O20" s="117"/>
      <c r="P20" s="117"/>
      <c r="Q20" s="117"/>
      <c r="R20" s="118"/>
    </row>
    <row r="21" spans="2:18" s="116" customFormat="1" ht="15" x14ac:dyDescent="0.25">
      <c r="B21" s="117"/>
      <c r="C21" s="117"/>
      <c r="D21" s="117"/>
      <c r="E21" s="117"/>
      <c r="F21" s="117"/>
      <c r="G21" s="117"/>
      <c r="H21" s="117"/>
      <c r="I21" s="117"/>
      <c r="J21" s="117"/>
      <c r="K21" s="117"/>
      <c r="L21" s="117"/>
      <c r="M21" s="117"/>
      <c r="N21" s="117"/>
      <c r="O21" s="117"/>
      <c r="P21" s="117"/>
      <c r="Q21" s="117"/>
      <c r="R21" s="118"/>
    </row>
    <row r="22" spans="2:18" s="116" customFormat="1" ht="15" x14ac:dyDescent="0.25">
      <c r="B22" s="117"/>
      <c r="C22" s="117"/>
      <c r="D22" s="117"/>
      <c r="E22" s="117"/>
      <c r="F22" s="117"/>
      <c r="G22" s="117"/>
      <c r="H22" s="117"/>
      <c r="I22" s="117"/>
      <c r="J22" s="117"/>
      <c r="K22" s="117"/>
      <c r="L22" s="117"/>
      <c r="M22" s="117"/>
      <c r="N22" s="117"/>
      <c r="O22" s="117"/>
      <c r="P22" s="117"/>
      <c r="Q22" s="117"/>
      <c r="R22" s="118"/>
    </row>
    <row r="23" spans="2:18" s="116" customFormat="1" ht="15" x14ac:dyDescent="0.25">
      <c r="B23" s="117"/>
      <c r="C23" s="117"/>
      <c r="D23" s="117"/>
      <c r="E23" s="117"/>
      <c r="F23" s="117"/>
      <c r="G23" s="117"/>
      <c r="H23" s="117"/>
      <c r="I23" s="117"/>
      <c r="J23" s="117"/>
      <c r="K23" s="117"/>
      <c r="L23" s="117"/>
      <c r="M23" s="117"/>
      <c r="N23" s="117"/>
      <c r="O23" s="117"/>
      <c r="P23" s="117"/>
      <c r="Q23" s="117"/>
      <c r="R23" s="118"/>
    </row>
    <row r="24" spans="2:18" s="116" customFormat="1" ht="15" x14ac:dyDescent="0.25">
      <c r="B24" s="117"/>
      <c r="C24" s="117"/>
      <c r="D24" s="117"/>
      <c r="E24" s="117"/>
      <c r="F24" s="117"/>
      <c r="G24" s="117"/>
      <c r="H24" s="117"/>
      <c r="I24" s="117"/>
      <c r="J24" s="117"/>
      <c r="K24" s="117"/>
      <c r="L24" s="117"/>
      <c r="M24" s="117"/>
      <c r="N24" s="117"/>
      <c r="O24" s="117"/>
      <c r="P24" s="117"/>
      <c r="Q24" s="117"/>
      <c r="R24" s="118"/>
    </row>
    <row r="26" spans="2:18" s="8" customFormat="1" x14ac:dyDescent="0.25">
      <c r="B26" s="8" t="s">
        <v>16</v>
      </c>
    </row>
    <row r="27" spans="2:18" x14ac:dyDescent="0.25">
      <c r="C27" s="9"/>
    </row>
    <row r="28" spans="2:18" x14ac:dyDescent="0.25">
      <c r="B28" s="1" t="s">
        <v>39</v>
      </c>
      <c r="C28" s="9"/>
      <c r="D28" s="1" t="s">
        <v>17</v>
      </c>
      <c r="F28" s="15"/>
    </row>
    <row r="29" spans="2:18" x14ac:dyDescent="0.25">
      <c r="C29" s="9"/>
    </row>
    <row r="30" spans="2:18" x14ac:dyDescent="0.25">
      <c r="B30" s="125">
        <v>123</v>
      </c>
      <c r="C30" s="9"/>
      <c r="D30" s="32" t="s">
        <v>186</v>
      </c>
    </row>
    <row r="31" spans="2:18" x14ac:dyDescent="0.25">
      <c r="B31" s="16">
        <f>B30</f>
        <v>123</v>
      </c>
      <c r="C31" s="9"/>
      <c r="D31" s="2" t="s">
        <v>18</v>
      </c>
    </row>
    <row r="32" spans="2:18" x14ac:dyDescent="0.25">
      <c r="B32" s="17">
        <f>B31+B30</f>
        <v>246</v>
      </c>
      <c r="C32" s="9"/>
      <c r="D32" s="2" t="s">
        <v>19</v>
      </c>
    </row>
    <row r="33" spans="2:7" x14ac:dyDescent="0.25">
      <c r="B33" s="18">
        <f>B31+B32</f>
        <v>369</v>
      </c>
      <c r="C33" s="9"/>
      <c r="D33" s="32" t="s">
        <v>55</v>
      </c>
      <c r="E33" s="15"/>
      <c r="F33" s="6"/>
    </row>
    <row r="34" spans="2:7" x14ac:dyDescent="0.25">
      <c r="B34" s="19"/>
      <c r="C34" s="9"/>
      <c r="D34" s="3" t="s">
        <v>20</v>
      </c>
      <c r="E34" s="15"/>
    </row>
    <row r="35" spans="2:7" x14ac:dyDescent="0.25">
      <c r="B35" s="9"/>
      <c r="C35" s="9"/>
    </row>
    <row r="36" spans="2:7" x14ac:dyDescent="0.25">
      <c r="B36" s="20" t="s">
        <v>21</v>
      </c>
      <c r="C36" s="9"/>
    </row>
    <row r="37" spans="2:7" x14ac:dyDescent="0.25">
      <c r="B37" s="128">
        <f>B33+16</f>
        <v>385</v>
      </c>
      <c r="C37" s="9"/>
      <c r="D37" s="2" t="s">
        <v>22</v>
      </c>
    </row>
    <row r="38" spans="2:7" x14ac:dyDescent="0.25">
      <c r="B38" s="21">
        <f>B31*PI()</f>
        <v>386.41589639154455</v>
      </c>
      <c r="C38" s="22"/>
      <c r="D38" s="2" t="s">
        <v>23</v>
      </c>
    </row>
    <row r="39" spans="2:7" x14ac:dyDescent="0.25">
      <c r="B39" s="22"/>
      <c r="C39" s="22"/>
    </row>
    <row r="40" spans="2:7" x14ac:dyDescent="0.25">
      <c r="B40" s="124" t="s">
        <v>24</v>
      </c>
      <c r="C40" s="23"/>
    </row>
    <row r="41" spans="2:7" x14ac:dyDescent="0.25">
      <c r="B41" s="127">
        <v>123</v>
      </c>
      <c r="C41" s="23"/>
      <c r="D41" s="32" t="s">
        <v>184</v>
      </c>
      <c r="G41" s="15"/>
    </row>
    <row r="42" spans="2:7" x14ac:dyDescent="0.25">
      <c r="B42" s="131">
        <v>124</v>
      </c>
      <c r="C42" s="23"/>
      <c r="D42" s="32" t="s">
        <v>185</v>
      </c>
    </row>
    <row r="43" spans="2:7" x14ac:dyDescent="0.25">
      <c r="B43" s="132">
        <f>B41-B42</f>
        <v>-1</v>
      </c>
      <c r="C43" s="24"/>
      <c r="D43" s="2" t="s">
        <v>220</v>
      </c>
    </row>
    <row r="46" spans="2:7" x14ac:dyDescent="0.25">
      <c r="B46" s="1" t="s">
        <v>34</v>
      </c>
    </row>
    <row r="47" spans="2:7" x14ac:dyDescent="0.25">
      <c r="B47" s="1"/>
    </row>
    <row r="48" spans="2:7" x14ac:dyDescent="0.25">
      <c r="B48" s="5" t="s">
        <v>40</v>
      </c>
    </row>
    <row r="49" spans="2:4" x14ac:dyDescent="0.25">
      <c r="B49" s="29" t="s">
        <v>33</v>
      </c>
      <c r="C49" s="9"/>
      <c r="D49" s="3" t="s">
        <v>43</v>
      </c>
    </row>
    <row r="50" spans="2:4" x14ac:dyDescent="0.25">
      <c r="B50" s="27" t="s">
        <v>31</v>
      </c>
      <c r="C50" s="9"/>
      <c r="D50" s="3" t="s">
        <v>35</v>
      </c>
    </row>
    <row r="51" spans="2:4" x14ac:dyDescent="0.25">
      <c r="B51" s="28" t="s">
        <v>32</v>
      </c>
      <c r="C51" s="9"/>
      <c r="D51" s="3" t="s">
        <v>36</v>
      </c>
    </row>
    <row r="52" spans="2:4" x14ac:dyDescent="0.25">
      <c r="B52" s="21" t="s">
        <v>32</v>
      </c>
      <c r="C52" s="9"/>
      <c r="D52" s="3" t="s">
        <v>38</v>
      </c>
    </row>
    <row r="53" spans="2:4" x14ac:dyDescent="0.25">
      <c r="C53" s="9"/>
      <c r="D53" s="3"/>
    </row>
    <row r="54" spans="2:4" x14ac:dyDescent="0.25">
      <c r="B54" s="5" t="s">
        <v>42</v>
      </c>
      <c r="C54" s="9"/>
      <c r="D54" s="3"/>
    </row>
    <row r="55" spans="2:4" x14ac:dyDescent="0.25">
      <c r="B55" s="30" t="s">
        <v>37</v>
      </c>
      <c r="C55" s="9"/>
      <c r="D55" s="3" t="s">
        <v>44</v>
      </c>
    </row>
    <row r="56" spans="2:4" x14ac:dyDescent="0.25">
      <c r="B56" s="31" t="s">
        <v>41</v>
      </c>
      <c r="D56" s="3" t="s">
        <v>45</v>
      </c>
    </row>
  </sheetData>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C8D9"/>
  </sheetPr>
  <dimension ref="A2:G25"/>
  <sheetViews>
    <sheetView showGridLines="0" zoomScale="85" zoomScaleNormal="85" workbookViewId="0">
      <pane ySplit="3" topLeftCell="A4" activePane="bottomLeft" state="frozen"/>
      <selection activeCell="A4" sqref="A4"/>
      <selection pane="bottomLeft" activeCell="A4" sqref="A4"/>
    </sheetView>
  </sheetViews>
  <sheetFormatPr defaultRowHeight="15" customHeight="1" x14ac:dyDescent="0.25"/>
  <cols>
    <col min="1" max="1" width="2.85546875" style="2" customWidth="1"/>
    <col min="2" max="2" width="7.5703125" style="2" customWidth="1"/>
    <col min="3" max="3" width="45.7109375" style="2" bestFit="1" customWidth="1"/>
    <col min="4" max="4" width="85.5703125" style="134" customWidth="1"/>
    <col min="5" max="5" width="108.7109375" style="2" customWidth="1"/>
    <col min="6" max="6" width="4.5703125" style="2" customWidth="1"/>
    <col min="7" max="7" width="43.42578125" style="2" customWidth="1"/>
    <col min="8" max="8" width="28.7109375" style="2" customWidth="1"/>
    <col min="9" max="9" width="26.85546875" style="2" customWidth="1"/>
    <col min="10" max="10" width="58.42578125" style="2" customWidth="1"/>
    <col min="11" max="11" width="22" style="2" customWidth="1"/>
    <col min="12" max="16384" width="9.140625" style="2"/>
  </cols>
  <sheetData>
    <row r="2" spans="1:7" s="14" customFormat="1" ht="18" x14ac:dyDescent="0.25">
      <c r="B2" s="4" t="s">
        <v>25</v>
      </c>
      <c r="D2" s="135"/>
    </row>
    <row r="4" spans="1:7" s="8" customFormat="1" ht="15" customHeight="1" x14ac:dyDescent="0.25">
      <c r="B4" s="8" t="s">
        <v>26</v>
      </c>
      <c r="D4" s="136"/>
    </row>
    <row r="5" spans="1:7" ht="12.75" x14ac:dyDescent="0.25">
      <c r="D5" s="2"/>
    </row>
    <row r="6" spans="1:7" ht="12.75" x14ac:dyDescent="0.25">
      <c r="B6" s="6"/>
      <c r="D6" s="2"/>
    </row>
    <row r="7" spans="1:7" ht="12.75" x14ac:dyDescent="0.25">
      <c r="D7" s="2"/>
    </row>
    <row r="8" spans="1:7" ht="12.75" x14ac:dyDescent="0.25">
      <c r="A8" s="9"/>
      <c r="B8" s="168" t="s">
        <v>56</v>
      </c>
      <c r="C8" s="168" t="s">
        <v>57</v>
      </c>
      <c r="D8" s="168" t="s">
        <v>58</v>
      </c>
      <c r="E8" s="168" t="s">
        <v>62</v>
      </c>
    </row>
    <row r="9" spans="1:7" ht="12.75" x14ac:dyDescent="0.25">
      <c r="B9" s="33"/>
      <c r="C9" s="33" t="s">
        <v>64</v>
      </c>
      <c r="D9" s="33" t="s">
        <v>27</v>
      </c>
      <c r="E9" s="33" t="s">
        <v>63</v>
      </c>
    </row>
    <row r="10" spans="1:7" ht="12" customHeight="1" x14ac:dyDescent="0.25">
      <c r="B10" s="7">
        <v>1</v>
      </c>
      <c r="C10" s="7" t="s">
        <v>338</v>
      </c>
      <c r="D10" s="7"/>
      <c r="E10" s="171" t="s">
        <v>339</v>
      </c>
      <c r="G10" s="170"/>
    </row>
    <row r="11" spans="1:7" ht="12" customHeight="1" x14ac:dyDescent="0.25">
      <c r="B11" s="7">
        <v>2</v>
      </c>
      <c r="C11" s="7" t="s">
        <v>316</v>
      </c>
      <c r="D11" s="114"/>
      <c r="E11" s="171"/>
    </row>
    <row r="12" spans="1:7" ht="12" customHeight="1" x14ac:dyDescent="0.25">
      <c r="B12" s="7">
        <v>3</v>
      </c>
      <c r="C12" s="7" t="s">
        <v>317</v>
      </c>
      <c r="D12" s="114"/>
      <c r="E12" s="171"/>
    </row>
    <row r="13" spans="1:7" ht="12" customHeight="1" x14ac:dyDescent="0.25">
      <c r="B13" s="7">
        <v>4</v>
      </c>
      <c r="C13" s="7" t="s">
        <v>265</v>
      </c>
      <c r="D13" s="7"/>
      <c r="E13" s="171"/>
    </row>
    <row r="14" spans="1:7" ht="12" customHeight="1" x14ac:dyDescent="0.25">
      <c r="B14" s="7">
        <v>5</v>
      </c>
      <c r="C14" s="7" t="s">
        <v>154</v>
      </c>
      <c r="E14" s="171" t="s">
        <v>330</v>
      </c>
    </row>
    <row r="15" spans="1:7" ht="36.75" customHeight="1" x14ac:dyDescent="0.25">
      <c r="B15" s="7">
        <v>6</v>
      </c>
      <c r="C15" s="7" t="s">
        <v>341</v>
      </c>
      <c r="D15" s="114" t="s">
        <v>267</v>
      </c>
      <c r="E15" s="171"/>
    </row>
    <row r="16" spans="1:7" ht="12" customHeight="1" x14ac:dyDescent="0.25">
      <c r="B16" s="7">
        <v>7</v>
      </c>
      <c r="C16" s="169" t="s">
        <v>331</v>
      </c>
      <c r="D16" s="114"/>
      <c r="E16" s="171" t="s">
        <v>335</v>
      </c>
    </row>
    <row r="17" spans="2:5" ht="12" customHeight="1" x14ac:dyDescent="0.25">
      <c r="B17" s="7">
        <v>8</v>
      </c>
      <c r="C17" s="169" t="s">
        <v>343</v>
      </c>
      <c r="D17" s="114"/>
      <c r="E17" s="171" t="s">
        <v>342</v>
      </c>
    </row>
    <row r="18" spans="2:5" ht="12" customHeight="1" x14ac:dyDescent="0.25">
      <c r="B18" s="7">
        <v>10</v>
      </c>
      <c r="C18" s="7" t="s">
        <v>209</v>
      </c>
      <c r="D18" s="7" t="s">
        <v>208</v>
      </c>
      <c r="E18" s="171" t="s">
        <v>334</v>
      </c>
    </row>
    <row r="19" spans="2:5" ht="12" customHeight="1" x14ac:dyDescent="0.25">
      <c r="B19" s="7">
        <v>11</v>
      </c>
      <c r="C19" s="7" t="s">
        <v>360</v>
      </c>
      <c r="D19" s="7" t="s">
        <v>359</v>
      </c>
      <c r="E19" s="171" t="s">
        <v>333</v>
      </c>
    </row>
    <row r="20" spans="2:5" ht="15" customHeight="1" x14ac:dyDescent="0.25">
      <c r="E20" s="32"/>
    </row>
    <row r="21" spans="2:5" ht="15" customHeight="1" x14ac:dyDescent="0.25">
      <c r="E21" s="32"/>
    </row>
    <row r="22" spans="2:5" s="8" customFormat="1" ht="15" customHeight="1" x14ac:dyDescent="0.25">
      <c r="B22" s="8" t="s">
        <v>53</v>
      </c>
      <c r="D22" s="136"/>
    </row>
    <row r="24" spans="2:5" ht="15" customHeight="1" x14ac:dyDescent="0.25">
      <c r="B24" s="5" t="s">
        <v>51</v>
      </c>
    </row>
    <row r="25" spans="2:5" ht="15" customHeight="1" x14ac:dyDescent="0.25">
      <c r="B25" s="5" t="s">
        <v>52</v>
      </c>
    </row>
  </sheetData>
  <sortState xmlns:xlrd2="http://schemas.microsoft.com/office/spreadsheetml/2017/richdata2" ref="B11:E19">
    <sortCondition ref="C11:C19"/>
    <sortCondition ref="D11:D19"/>
    <sortCondition ref="E11:E19"/>
  </sortState>
  <hyperlinks>
    <hyperlink ref="E18" r:id="rId1" xr:uid="{D4905D59-4096-4B9C-94A4-D96B62B20EEE}"/>
    <hyperlink ref="E19" r:id="rId2" xr:uid="{96B50C13-2F30-4CA0-A325-874AA5BFD201}"/>
    <hyperlink ref="E14" r:id="rId3" location="/CBS/nl/dataset/70936ned/table?ts=1631782812900" xr:uid="{21E134B9-3E09-41F2-A372-BA31BE06099A}"/>
    <hyperlink ref="E16" r:id="rId4" xr:uid="{E10C67E9-3429-40BF-BEA6-6BEE6F84C0B6}"/>
    <hyperlink ref="E10" r:id="rId5" location="/details/wettelijke-rente/dataset/2ed0b77d-72c5-47e8-8a3d-0c213048e11d/resource/b363a333-1ce1-4ba0-83b9-80bdf6f78fa0" xr:uid="{0524099A-615A-46BF-8931-90672648D28C}"/>
    <hyperlink ref="E17" r:id="rId6" xr:uid="{71FE6C58-5DA7-408C-A83F-EE1DDCA336A2}"/>
  </hyperlinks>
  <pageMargins left="0.75" right="0.75" top="1" bottom="1" header="0.5" footer="0.5"/>
  <pageSetup paperSize="9" orientation="portrait"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FF"/>
  </sheetPr>
  <dimension ref="B2:T39"/>
  <sheetViews>
    <sheetView showGridLines="0" zoomScale="85" zoomScaleNormal="85" workbookViewId="0">
      <pane xSplit="6" ySplit="8" topLeftCell="G9" activePane="bottomRight" state="frozen"/>
      <selection activeCell="Q51" sqref="Q51"/>
      <selection pane="topRight" activeCell="Q51" sqref="Q51"/>
      <selection pane="bottomLeft" activeCell="Q51" sqref="Q51"/>
      <selection pane="bottomRight" activeCell="G9" sqref="G9"/>
    </sheetView>
  </sheetViews>
  <sheetFormatPr defaultRowHeight="12.75" x14ac:dyDescent="0.25"/>
  <cols>
    <col min="1" max="1" width="4" style="2" customWidth="1"/>
    <col min="2" max="2" width="41.42578125"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2" width="15.28515625" style="2" bestFit="1" customWidth="1"/>
    <col min="13" max="14" width="15.85546875" style="2" bestFit="1" customWidth="1"/>
    <col min="15" max="15" width="14.7109375" style="2" bestFit="1" customWidth="1"/>
    <col min="16" max="16" width="15.85546875" style="2" bestFit="1" customWidth="1"/>
    <col min="17" max="17" width="14.7109375" style="2" bestFit="1" customWidth="1"/>
    <col min="18" max="19" width="2.7109375" style="2" customWidth="1"/>
    <col min="20" max="34" width="13.7109375" style="2" customWidth="1"/>
    <col min="35" max="16384" width="9.140625" style="2"/>
  </cols>
  <sheetData>
    <row r="2" spans="2:20" s="25" customFormat="1" ht="18" x14ac:dyDescent="0.25">
      <c r="B2" s="25" t="s">
        <v>252</v>
      </c>
    </row>
    <row r="4" spans="2:20" x14ac:dyDescent="0.25">
      <c r="B4" s="1" t="s">
        <v>60</v>
      </c>
      <c r="C4" s="1"/>
      <c r="D4" s="1"/>
    </row>
    <row r="5" spans="2:20" x14ac:dyDescent="0.2">
      <c r="B5" s="149" t="s">
        <v>253</v>
      </c>
      <c r="C5" s="3"/>
      <c r="D5" s="3"/>
      <c r="H5" s="26"/>
    </row>
    <row r="7" spans="2:20" s="8" customFormat="1" x14ac:dyDescent="0.25">
      <c r="B7" s="8" t="s">
        <v>46</v>
      </c>
      <c r="F7" s="8" t="s">
        <v>28</v>
      </c>
      <c r="H7" s="8" t="s">
        <v>29</v>
      </c>
      <c r="J7" s="8" t="s">
        <v>50</v>
      </c>
      <c r="L7" s="8" t="s">
        <v>151</v>
      </c>
      <c r="M7" s="8" t="s">
        <v>66</v>
      </c>
      <c r="N7" s="8" t="s">
        <v>67</v>
      </c>
      <c r="O7" s="8" t="s">
        <v>68</v>
      </c>
      <c r="P7" s="8" t="s">
        <v>69</v>
      </c>
      <c r="Q7" s="8" t="s">
        <v>70</v>
      </c>
      <c r="T7" s="8" t="s">
        <v>48</v>
      </c>
    </row>
    <row r="10" spans="2:20" s="8" customFormat="1" x14ac:dyDescent="0.25">
      <c r="B10" s="8" t="s">
        <v>142</v>
      </c>
    </row>
    <row r="12" spans="2:20" x14ac:dyDescent="0.2">
      <c r="B12" s="2" t="s">
        <v>222</v>
      </c>
      <c r="F12" s="150" t="s">
        <v>192</v>
      </c>
      <c r="J12" s="65">
        <f>SUM(L12:Q12)</f>
        <v>1136329561.2121837</v>
      </c>
      <c r="L12" s="94">
        <f>'Input x-factor, begininkomsten'!L24</f>
        <v>22300179.318626616</v>
      </c>
      <c r="M12" s="94">
        <f>'Input x-factor, begininkomsten'!N24</f>
        <v>363687564.82586902</v>
      </c>
      <c r="N12" s="94">
        <f>'Input x-factor, begininkomsten'!O24</f>
        <v>394380948.14215267</v>
      </c>
      <c r="O12" s="94">
        <f>'Input x-factor, begininkomsten'!P24</f>
        <v>16337707.73807825</v>
      </c>
      <c r="P12" s="94">
        <f>'Input x-factor, begininkomsten'!Q24</f>
        <v>320661440.90950453</v>
      </c>
      <c r="Q12" s="94">
        <f>'Input x-factor, begininkomsten'!R24</f>
        <v>18961720.277952701</v>
      </c>
    </row>
    <row r="13" spans="2:20" x14ac:dyDescent="0.2">
      <c r="B13" s="2" t="s">
        <v>223</v>
      </c>
      <c r="F13" s="54" t="s">
        <v>76</v>
      </c>
      <c r="L13" s="60">
        <f>'Input x-factor, begininkomsten'!L27</f>
        <v>2.11</v>
      </c>
      <c r="M13" s="60">
        <f>'Input x-factor, begininkomsten'!N27</f>
        <v>2.1</v>
      </c>
      <c r="N13" s="60">
        <f>'Input x-factor, begininkomsten'!O27</f>
        <v>2.06</v>
      </c>
      <c r="O13" s="60">
        <f>'Input x-factor, begininkomsten'!P27</f>
        <v>2.12</v>
      </c>
      <c r="P13" s="60">
        <f>'Input x-factor, begininkomsten'!Q27</f>
        <v>2.1</v>
      </c>
      <c r="Q13" s="60">
        <f>'Input x-factor, begininkomsten'!R27</f>
        <v>2.3000000000000003</v>
      </c>
    </row>
    <row r="14" spans="2:20" x14ac:dyDescent="0.2">
      <c r="F14" s="54"/>
    </row>
    <row r="15" spans="2:20" x14ac:dyDescent="0.2">
      <c r="B15" s="32" t="s">
        <v>254</v>
      </c>
      <c r="F15" s="54" t="s">
        <v>127</v>
      </c>
      <c r="H15" s="101">
        <f>'Input parameters'!R19</f>
        <v>2.4E-2</v>
      </c>
    </row>
    <row r="16" spans="2:20" x14ac:dyDescent="0.2">
      <c r="F16" s="54"/>
    </row>
    <row r="17" spans="2:17" x14ac:dyDescent="0.2">
      <c r="B17" s="2" t="s">
        <v>320</v>
      </c>
      <c r="F17" s="156" t="s">
        <v>241</v>
      </c>
      <c r="J17" s="65">
        <f>SUM(L17:Q17)</f>
        <v>1139852881.2750418</v>
      </c>
      <c r="L17" s="106">
        <f>(L12)*(1-L13/100+$H15)</f>
        <v>22364849.838650633</v>
      </c>
      <c r="M17" s="106">
        <f t="shared" ref="M17:Q17" si="0">(M12)*(1-M13/100+$H15)</f>
        <v>364778627.52034658</v>
      </c>
      <c r="N17" s="106">
        <f t="shared" si="0"/>
        <v>395721843.36583602</v>
      </c>
      <c r="O17" s="106">
        <f t="shared" si="0"/>
        <v>16383453.319744868</v>
      </c>
      <c r="P17" s="106">
        <f t="shared" si="0"/>
        <v>321623425.23223299</v>
      </c>
      <c r="Q17" s="106">
        <f t="shared" si="0"/>
        <v>18980681.998230651</v>
      </c>
    </row>
    <row r="19" spans="2:17" s="8" customFormat="1" x14ac:dyDescent="0.25">
      <c r="B19" s="8" t="s">
        <v>255</v>
      </c>
    </row>
    <row r="21" spans="2:17" x14ac:dyDescent="0.2">
      <c r="B21" s="2" t="s">
        <v>224</v>
      </c>
      <c r="F21" s="2" t="s">
        <v>241</v>
      </c>
      <c r="J21" s="65">
        <f>SUM(L21:Q21)</f>
        <v>34613662.985778451</v>
      </c>
      <c r="L21" s="107">
        <f>'Lokale heffingen 2020'!L37</f>
        <v>-734.22227913739982</v>
      </c>
      <c r="M21" s="107">
        <f>'Lokale heffingen 2020'!N37</f>
        <v>-42441.57922256949</v>
      </c>
      <c r="N21" s="107">
        <f>'Lokale heffingen 2020'!O37</f>
        <v>30577515.694479015</v>
      </c>
      <c r="O21" s="107">
        <f>'Lokale heffingen 2020'!P37</f>
        <v>-2231327.2990524406</v>
      </c>
      <c r="P21" s="107">
        <f>'Lokale heffingen 2020'!Q37</f>
        <v>6288737.5692573711</v>
      </c>
      <c r="Q21" s="107">
        <f>'Lokale heffingen 2020'!R37</f>
        <v>21912.822596204915</v>
      </c>
    </row>
    <row r="22" spans="2:17" x14ac:dyDescent="0.2">
      <c r="B22" s="2" t="s">
        <v>242</v>
      </c>
      <c r="F22" s="2" t="s">
        <v>241</v>
      </c>
      <c r="J22" s="65">
        <f>SUM(L22:Q22)</f>
        <v>2025312.9885951495</v>
      </c>
      <c r="L22" s="121"/>
      <c r="M22" s="121"/>
      <c r="N22" s="121"/>
      <c r="O22" s="107">
        <f>'Lagere tarieven RENDO'!P29</f>
        <v>2025312.9885951495</v>
      </c>
      <c r="P22" s="121"/>
      <c r="Q22" s="121"/>
    </row>
    <row r="23" spans="2:17" x14ac:dyDescent="0.2">
      <c r="B23" s="2" t="s">
        <v>228</v>
      </c>
      <c r="F23" s="2" t="s">
        <v>241</v>
      </c>
      <c r="J23" s="65">
        <f>SUM(L23:Q23)</f>
        <v>371312.47897245048</v>
      </c>
      <c r="L23" s="107">
        <f>'Invoeding groen gas 2021'!L93</f>
        <v>540.271254</v>
      </c>
      <c r="M23" s="107">
        <f>'Invoeding groen gas 2021'!N93</f>
        <v>271983.57465480635</v>
      </c>
      <c r="N23" s="107">
        <f>'Invoeding groen gas 2021'!O93</f>
        <v>66100.233000000007</v>
      </c>
      <c r="O23" s="107">
        <f>'Invoeding groen gas 2021'!P93</f>
        <v>16726.26498</v>
      </c>
      <c r="P23" s="107">
        <f>'Invoeding groen gas 2021'!Q93</f>
        <v>15962.135083644107</v>
      </c>
      <c r="Q23" s="107">
        <f>'Invoeding groen gas 2021'!R93</f>
        <v>0</v>
      </c>
    </row>
    <row r="24" spans="2:17" x14ac:dyDescent="0.2">
      <c r="L24" s="54"/>
      <c r="M24" s="54"/>
      <c r="N24" s="54"/>
      <c r="O24" s="54"/>
      <c r="P24" s="54"/>
      <c r="Q24" s="54"/>
    </row>
    <row r="25" spans="2:17" x14ac:dyDescent="0.2">
      <c r="B25" s="1" t="s">
        <v>256</v>
      </c>
      <c r="F25" s="2" t="s">
        <v>241</v>
      </c>
      <c r="J25" s="65">
        <f>SUM(L25:Q25)</f>
        <v>37010288.453346044</v>
      </c>
      <c r="L25" s="108">
        <f t="shared" ref="L25:Q25" si="1">SUM(L21:L23)</f>
        <v>-193.95102513739982</v>
      </c>
      <c r="M25" s="108">
        <f t="shared" si="1"/>
        <v>229541.99543223687</v>
      </c>
      <c r="N25" s="108">
        <f t="shared" si="1"/>
        <v>30643615.927479014</v>
      </c>
      <c r="O25" s="108">
        <f t="shared" si="1"/>
        <v>-189288.04547729107</v>
      </c>
      <c r="P25" s="108">
        <f t="shared" si="1"/>
        <v>6304699.7043410148</v>
      </c>
      <c r="Q25" s="108">
        <f t="shared" si="1"/>
        <v>21912.822596204915</v>
      </c>
    </row>
    <row r="27" spans="2:17" s="8" customFormat="1" x14ac:dyDescent="0.25">
      <c r="B27" s="8" t="s">
        <v>257</v>
      </c>
    </row>
    <row r="29" spans="2:17" x14ac:dyDescent="0.2">
      <c r="B29" s="2" t="s">
        <v>258</v>
      </c>
      <c r="F29" s="2" t="s">
        <v>241</v>
      </c>
      <c r="J29" s="65">
        <f>SUM(L29:Q29)</f>
        <v>1176863169.7283876</v>
      </c>
      <c r="L29" s="110">
        <f>L17+L25</f>
        <v>22364655.887625497</v>
      </c>
      <c r="M29" s="110">
        <f t="shared" ref="M29:Q29" si="2">M17+M25</f>
        <v>365008169.51577884</v>
      </c>
      <c r="N29" s="110">
        <f t="shared" si="2"/>
        <v>426365459.29331505</v>
      </c>
      <c r="O29" s="110">
        <f t="shared" si="2"/>
        <v>16194165.274267577</v>
      </c>
      <c r="P29" s="110">
        <f t="shared" si="2"/>
        <v>327928124.93657398</v>
      </c>
      <c r="Q29" s="110">
        <f t="shared" si="2"/>
        <v>19002594.820826855</v>
      </c>
    </row>
    <row r="31" spans="2:17" x14ac:dyDescent="0.25">
      <c r="L31" s="43"/>
      <c r="M31" s="43"/>
      <c r="N31" s="43"/>
      <c r="O31" s="43"/>
      <c r="P31" s="43"/>
      <c r="Q31" s="43"/>
    </row>
    <row r="32" spans="2:17" x14ac:dyDescent="0.25">
      <c r="L32" s="43"/>
      <c r="M32" s="43"/>
      <c r="N32" s="43"/>
      <c r="O32" s="43"/>
      <c r="P32" s="43"/>
      <c r="Q32" s="43"/>
    </row>
    <row r="34" spans="12:17" x14ac:dyDescent="0.25">
      <c r="L34" s="122"/>
      <c r="M34" s="122"/>
      <c r="N34" s="122"/>
      <c r="O34" s="122"/>
      <c r="P34" s="122"/>
      <c r="Q34" s="122"/>
    </row>
    <row r="35" spans="12:17" x14ac:dyDescent="0.25">
      <c r="L35" s="137"/>
      <c r="M35" s="137"/>
      <c r="N35" s="137"/>
      <c r="O35" s="137"/>
      <c r="P35" s="137"/>
      <c r="Q35" s="137"/>
    </row>
    <row r="36" spans="12:17" x14ac:dyDescent="0.25">
      <c r="L36" s="137"/>
      <c r="M36" s="137"/>
      <c r="N36" s="137"/>
      <c r="O36" s="137"/>
      <c r="P36" s="137"/>
      <c r="Q36" s="137"/>
    </row>
    <row r="37" spans="12:17" x14ac:dyDescent="0.25">
      <c r="L37" s="137"/>
      <c r="M37" s="137"/>
      <c r="N37" s="137"/>
      <c r="O37" s="137"/>
      <c r="P37" s="137"/>
      <c r="Q37" s="137"/>
    </row>
    <row r="38" spans="12:17" x14ac:dyDescent="0.25">
      <c r="L38" s="137"/>
      <c r="M38" s="137"/>
      <c r="N38" s="137"/>
      <c r="O38" s="137"/>
      <c r="P38" s="137"/>
      <c r="Q38" s="137"/>
    </row>
    <row r="39" spans="12:17" x14ac:dyDescent="0.25">
      <c r="L39" s="137"/>
      <c r="M39" s="137"/>
      <c r="N39" s="137"/>
      <c r="O39" s="137"/>
      <c r="P39" s="137"/>
      <c r="Q39" s="137"/>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4.9989318521683403E-2"/>
  </sheetPr>
  <dimension ref="A1"/>
  <sheetViews>
    <sheetView showGridLines="0" zoomScale="85" zoomScaleNormal="85" workbookViewId="0"/>
  </sheetViews>
  <sheetFormatPr defaultRowHeight="12.75" x14ac:dyDescent="0.25"/>
  <cols>
    <col min="1" max="16384" width="9.140625" style="30"/>
  </cols>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sheetPr>
  <dimension ref="A2:V41"/>
  <sheetViews>
    <sheetView showGridLines="0" zoomScale="85" zoomScaleNormal="85" workbookViewId="0">
      <pane xSplit="6" ySplit="10" topLeftCell="G11" activePane="bottomRight" state="frozen"/>
      <selection activeCell="A4" sqref="A4"/>
      <selection pane="topRight" activeCell="A4" sqref="A4"/>
      <selection pane="bottomLeft" activeCell="A4" sqref="A4"/>
      <selection pane="bottomRight" activeCell="G11" sqref="G11"/>
    </sheetView>
  </sheetViews>
  <sheetFormatPr defaultRowHeight="12.75" x14ac:dyDescent="0.25"/>
  <cols>
    <col min="1" max="1" width="4" style="2" customWidth="1"/>
    <col min="2" max="2" width="41.42578125"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8" width="12.5703125" style="2" customWidth="1"/>
    <col min="19" max="19" width="2.7109375" style="2" customWidth="1"/>
    <col min="20" max="20" width="24.7109375" style="2" customWidth="1"/>
    <col min="21" max="21" width="2.7109375" style="2" customWidth="1"/>
    <col min="22" max="22" width="13.7109375" style="2" customWidth="1"/>
    <col min="23" max="23" width="2.7109375" style="2" customWidth="1"/>
    <col min="24" max="38" width="13.7109375" style="2" customWidth="1"/>
    <col min="39" max="16384" width="9.140625" style="2"/>
  </cols>
  <sheetData>
    <row r="2" spans="1:22" s="25" customFormat="1" ht="18" x14ac:dyDescent="0.25">
      <c r="B2" s="25" t="s">
        <v>159</v>
      </c>
    </row>
    <row r="4" spans="1:22" x14ac:dyDescent="0.25">
      <c r="B4" s="37" t="s">
        <v>30</v>
      </c>
      <c r="C4" s="1"/>
      <c r="D4" s="1"/>
    </row>
    <row r="5" spans="1:22" x14ac:dyDescent="0.25">
      <c r="B5" s="32" t="s">
        <v>198</v>
      </c>
      <c r="C5" s="32"/>
      <c r="D5" s="32"/>
      <c r="H5" s="26"/>
    </row>
    <row r="6" spans="1:22" x14ac:dyDescent="0.25">
      <c r="B6" s="32" t="s">
        <v>194</v>
      </c>
      <c r="C6" s="32"/>
      <c r="D6" s="32"/>
      <c r="H6" s="26"/>
    </row>
    <row r="7" spans="1:22" x14ac:dyDescent="0.25">
      <c r="B7" s="5"/>
      <c r="C7" s="32"/>
      <c r="D7" s="32"/>
      <c r="H7" s="26"/>
    </row>
    <row r="9" spans="1:22" s="8" customFormat="1" x14ac:dyDescent="0.25">
      <c r="B9" s="8" t="s">
        <v>46</v>
      </c>
      <c r="F9" s="8" t="s">
        <v>28</v>
      </c>
      <c r="H9" s="8" t="s">
        <v>29</v>
      </c>
      <c r="J9" s="8" t="s">
        <v>50</v>
      </c>
      <c r="L9" s="8" t="s">
        <v>119</v>
      </c>
      <c r="M9" s="8" t="s">
        <v>120</v>
      </c>
      <c r="N9" s="8" t="s">
        <v>121</v>
      </c>
      <c r="O9" s="8" t="s">
        <v>122</v>
      </c>
      <c r="P9" s="8" t="s">
        <v>123</v>
      </c>
      <c r="Q9" s="8" t="s">
        <v>124</v>
      </c>
      <c r="R9" s="8" t="s">
        <v>221</v>
      </c>
      <c r="T9" s="8" t="s">
        <v>47</v>
      </c>
      <c r="V9" s="8" t="s">
        <v>48</v>
      </c>
    </row>
    <row r="12" spans="1:22" s="8" customFormat="1" x14ac:dyDescent="0.25">
      <c r="B12" s="8" t="s">
        <v>168</v>
      </c>
    </row>
    <row r="14" spans="1:22" x14ac:dyDescent="0.25">
      <c r="B14" s="37" t="s">
        <v>169</v>
      </c>
    </row>
    <row r="15" spans="1:22" x14ac:dyDescent="0.25">
      <c r="A15" s="9"/>
      <c r="B15" s="2" t="s">
        <v>125</v>
      </c>
    </row>
    <row r="16" spans="1:22" x14ac:dyDescent="0.25">
      <c r="A16" s="9"/>
      <c r="B16" s="2" t="s">
        <v>126</v>
      </c>
    </row>
    <row r="17" spans="1:22" x14ac:dyDescent="0.25">
      <c r="A17" s="9"/>
      <c r="B17" s="2" t="s">
        <v>171</v>
      </c>
    </row>
    <row r="18" spans="1:22" x14ac:dyDescent="0.2">
      <c r="A18" s="9"/>
      <c r="B18" s="67"/>
    </row>
    <row r="19" spans="1:22" ht="15" x14ac:dyDescent="0.25">
      <c r="A19" s="9"/>
      <c r="B19" s="2" t="s">
        <v>170</v>
      </c>
      <c r="F19" s="2" t="s">
        <v>127</v>
      </c>
      <c r="L19" s="130">
        <v>8.0000000000000002E-3</v>
      </c>
      <c r="M19" s="130">
        <v>2E-3</v>
      </c>
      <c r="N19" s="130">
        <v>1.4E-2</v>
      </c>
      <c r="O19" s="130">
        <v>2.1000000000000001E-2</v>
      </c>
      <c r="P19" s="130">
        <v>2.8000000000000001E-2</v>
      </c>
      <c r="Q19" s="130">
        <v>7.0000000000000001E-3</v>
      </c>
      <c r="R19" s="140">
        <v>2.4E-2</v>
      </c>
      <c r="T19" s="2" t="s">
        <v>328</v>
      </c>
      <c r="V19" s="36"/>
    </row>
    <row r="20" spans="1:22" x14ac:dyDescent="0.25">
      <c r="A20" s="9"/>
    </row>
    <row r="22" spans="1:22" s="8" customFormat="1" x14ac:dyDescent="0.25">
      <c r="B22" s="8" t="s">
        <v>128</v>
      </c>
    </row>
    <row r="24" spans="1:22" x14ac:dyDescent="0.25">
      <c r="B24" s="37" t="s">
        <v>129</v>
      </c>
    </row>
    <row r="25" spans="1:22" x14ac:dyDescent="0.25">
      <c r="A25" s="9"/>
      <c r="B25" s="2" t="s">
        <v>327</v>
      </c>
    </row>
    <row r="26" spans="1:22" x14ac:dyDescent="0.25">
      <c r="A26" s="9"/>
      <c r="B26" s="9" t="s">
        <v>336</v>
      </c>
    </row>
    <row r="27" spans="1:22" x14ac:dyDescent="0.25">
      <c r="A27" s="9"/>
      <c r="B27" s="2" t="s">
        <v>337</v>
      </c>
    </row>
    <row r="28" spans="1:22" x14ac:dyDescent="0.25">
      <c r="A28" s="9"/>
      <c r="B28" s="2" t="s">
        <v>332</v>
      </c>
    </row>
    <row r="29" spans="1:22" ht="15" x14ac:dyDescent="0.25">
      <c r="A29" s="9"/>
      <c r="B29" s="100"/>
    </row>
    <row r="30" spans="1:22" ht="12" customHeight="1" x14ac:dyDescent="0.25">
      <c r="A30" s="9"/>
      <c r="B30" s="9"/>
    </row>
    <row r="31" spans="1:22" x14ac:dyDescent="0.2">
      <c r="B31" s="67"/>
    </row>
    <row r="32" spans="1:22" x14ac:dyDescent="0.25">
      <c r="B32" s="37" t="s">
        <v>130</v>
      </c>
    </row>
    <row r="33" spans="2:20" ht="12" customHeight="1" x14ac:dyDescent="0.25">
      <c r="B33" s="2" t="s">
        <v>131</v>
      </c>
      <c r="F33" s="2" t="s">
        <v>127</v>
      </c>
      <c r="L33" s="130">
        <v>0.02</v>
      </c>
      <c r="M33" s="130">
        <v>0.02</v>
      </c>
      <c r="N33" s="130">
        <v>0.02</v>
      </c>
      <c r="O33" s="130">
        <v>0.02</v>
      </c>
      <c r="P33" s="130">
        <v>0.02</v>
      </c>
      <c r="Q33" s="130">
        <v>0.02</v>
      </c>
      <c r="R33" s="140">
        <v>0.02</v>
      </c>
      <c r="T33" s="2" t="s">
        <v>338</v>
      </c>
    </row>
    <row r="34" spans="2:20" x14ac:dyDescent="0.25">
      <c r="B34" s="2" t="s">
        <v>132</v>
      </c>
      <c r="F34" s="2" t="s">
        <v>127</v>
      </c>
      <c r="L34" s="130">
        <v>0.02</v>
      </c>
      <c r="M34" s="130">
        <v>0.02</v>
      </c>
      <c r="N34" s="130">
        <v>0.02</v>
      </c>
      <c r="O34" s="130">
        <v>0.02</v>
      </c>
      <c r="P34" s="130">
        <v>0.02</v>
      </c>
      <c r="Q34" s="130">
        <v>0.02</v>
      </c>
      <c r="R34" s="140">
        <v>0.02</v>
      </c>
    </row>
    <row r="35" spans="2:20" x14ac:dyDescent="0.25">
      <c r="B35" s="2" t="s">
        <v>133</v>
      </c>
      <c r="F35" s="2" t="s">
        <v>127</v>
      </c>
      <c r="L35" s="130">
        <v>0.02</v>
      </c>
      <c r="M35" s="130">
        <v>0.02</v>
      </c>
      <c r="N35" s="130">
        <v>0.02</v>
      </c>
      <c r="O35" s="130">
        <v>0.02</v>
      </c>
      <c r="P35" s="130">
        <v>0.02</v>
      </c>
      <c r="Q35" s="130">
        <v>0.02</v>
      </c>
    </row>
    <row r="36" spans="2:20" x14ac:dyDescent="0.25">
      <c r="B36" s="2" t="s">
        <v>134</v>
      </c>
      <c r="F36" s="2" t="s">
        <v>127</v>
      </c>
      <c r="L36" s="130">
        <v>0.02</v>
      </c>
      <c r="M36" s="130">
        <v>0.02</v>
      </c>
      <c r="N36" s="130">
        <v>0.02</v>
      </c>
      <c r="O36" s="130">
        <v>0.02</v>
      </c>
      <c r="P36" s="130">
        <v>0.02</v>
      </c>
      <c r="Q36" s="130">
        <v>0.02</v>
      </c>
    </row>
    <row r="37" spans="2:20" x14ac:dyDescent="0.25">
      <c r="L37" s="120"/>
      <c r="M37" s="120"/>
      <c r="N37" s="120"/>
      <c r="O37" s="120"/>
    </row>
    <row r="38" spans="2:20" x14ac:dyDescent="0.25">
      <c r="L38" s="120"/>
      <c r="M38" s="120"/>
      <c r="N38" s="120"/>
      <c r="O38" s="120"/>
    </row>
    <row r="39" spans="2:20" s="8" customFormat="1" x14ac:dyDescent="0.25">
      <c r="B39" s="8" t="s">
        <v>193</v>
      </c>
    </row>
    <row r="41" spans="2:20" x14ac:dyDescent="0.25">
      <c r="B41" s="2" t="s">
        <v>340</v>
      </c>
      <c r="F41" s="2" t="s">
        <v>127</v>
      </c>
      <c r="H41" s="138">
        <v>0.21</v>
      </c>
    </row>
  </sheetData>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CC"/>
  </sheetPr>
  <dimension ref="A2:W33"/>
  <sheetViews>
    <sheetView showGridLines="0" zoomScale="85" zoomScaleNormal="85" workbookViewId="0">
      <pane xSplit="6" ySplit="8" topLeftCell="G9" activePane="bottomRight" state="frozen"/>
      <selection activeCell="A4" sqref="A4"/>
      <selection pane="topRight" activeCell="A4" sqref="A4"/>
      <selection pane="bottomLeft" activeCell="A4" sqref="A4"/>
      <selection pane="bottomRight" activeCell="G9" sqref="G9"/>
    </sheetView>
  </sheetViews>
  <sheetFormatPr defaultRowHeight="12.75" x14ac:dyDescent="0.25"/>
  <cols>
    <col min="1" max="1" width="4" style="2" customWidth="1"/>
    <col min="2" max="2" width="41.42578125"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8" width="13.28515625" style="2" customWidth="1"/>
    <col min="19" max="20" width="2.7109375" style="2" customWidth="1"/>
    <col min="21" max="21" width="24.7109375" style="2" customWidth="1"/>
    <col min="22" max="22" width="2.7109375" style="2" customWidth="1"/>
    <col min="23" max="23" width="13.7109375" style="2" customWidth="1"/>
    <col min="24" max="24" width="2.7109375" style="2" customWidth="1"/>
    <col min="25" max="39" width="13.7109375" style="2" customWidth="1"/>
    <col min="40" max="16384" width="9.140625" style="2"/>
  </cols>
  <sheetData>
    <row r="2" spans="1:23" s="25" customFormat="1" ht="18" x14ac:dyDescent="0.25">
      <c r="B2" s="25" t="s">
        <v>150</v>
      </c>
    </row>
    <row r="4" spans="1:23" x14ac:dyDescent="0.25">
      <c r="B4" s="1" t="s">
        <v>30</v>
      </c>
      <c r="C4" s="1"/>
      <c r="D4" s="1"/>
    </row>
    <row r="5" spans="1:23" x14ac:dyDescent="0.25">
      <c r="B5" s="2" t="s">
        <v>263</v>
      </c>
      <c r="C5" s="32"/>
      <c r="D5" s="32"/>
      <c r="H5" s="26"/>
    </row>
    <row r="7" spans="1:23" s="8" customFormat="1" x14ac:dyDescent="0.25">
      <c r="B7" s="8" t="s">
        <v>46</v>
      </c>
      <c r="F7" s="8" t="s">
        <v>28</v>
      </c>
      <c r="H7" s="8" t="s">
        <v>29</v>
      </c>
      <c r="J7" s="8" t="s">
        <v>50</v>
      </c>
      <c r="L7" s="8" t="s">
        <v>151</v>
      </c>
      <c r="M7" s="8" t="s">
        <v>65</v>
      </c>
      <c r="N7" s="8" t="s">
        <v>66</v>
      </c>
      <c r="O7" s="8" t="s">
        <v>67</v>
      </c>
      <c r="P7" s="8" t="s">
        <v>68</v>
      </c>
      <c r="Q7" s="8" t="s">
        <v>69</v>
      </c>
      <c r="R7" s="8" t="s">
        <v>70</v>
      </c>
      <c r="U7" s="8" t="s">
        <v>47</v>
      </c>
      <c r="W7" s="8" t="s">
        <v>48</v>
      </c>
    </row>
    <row r="10" spans="1:23" s="8" customFormat="1" x14ac:dyDescent="0.25">
      <c r="B10" s="8" t="s">
        <v>262</v>
      </c>
    </row>
    <row r="12" spans="1:23" x14ac:dyDescent="0.25">
      <c r="B12" s="1" t="s">
        <v>149</v>
      </c>
    </row>
    <row r="13" spans="1:23" x14ac:dyDescent="0.2">
      <c r="A13" s="9"/>
      <c r="B13" s="2" t="s">
        <v>143</v>
      </c>
      <c r="F13" s="152" t="s">
        <v>155</v>
      </c>
      <c r="J13" s="65">
        <f>SUM(L13:R13)</f>
        <v>1090114432.4153564</v>
      </c>
      <c r="L13" s="129">
        <v>20487191.093370512</v>
      </c>
      <c r="M13" s="129">
        <v>28978029.685308009</v>
      </c>
      <c r="N13" s="129">
        <v>334771366.90920109</v>
      </c>
      <c r="O13" s="129">
        <v>385758605.7230584</v>
      </c>
      <c r="P13" s="129">
        <v>17302363.273569763</v>
      </c>
      <c r="Q13" s="129">
        <v>286427922.36313856</v>
      </c>
      <c r="R13" s="129">
        <v>16388953.367710022</v>
      </c>
      <c r="U13" s="9" t="s">
        <v>210</v>
      </c>
    </row>
    <row r="14" spans="1:23" x14ac:dyDescent="0.25">
      <c r="U14" s="9"/>
    </row>
    <row r="15" spans="1:23" x14ac:dyDescent="0.25">
      <c r="B15" s="1" t="s">
        <v>148</v>
      </c>
      <c r="U15" s="9"/>
    </row>
    <row r="16" spans="1:23" x14ac:dyDescent="0.2">
      <c r="B16" s="2" t="s">
        <v>144</v>
      </c>
      <c r="F16" s="152" t="s">
        <v>76</v>
      </c>
      <c r="L16" s="125">
        <v>1.76</v>
      </c>
      <c r="M16" s="125">
        <v>1.74</v>
      </c>
      <c r="N16" s="125">
        <v>1.76</v>
      </c>
      <c r="O16" s="125">
        <v>1.63</v>
      </c>
      <c r="P16" s="125">
        <v>1.65</v>
      </c>
      <c r="Q16" s="125">
        <v>1.67</v>
      </c>
      <c r="R16" s="125">
        <v>2.02</v>
      </c>
      <c r="U16" s="9" t="s">
        <v>211</v>
      </c>
    </row>
    <row r="18" spans="2:21" s="8" customFormat="1" x14ac:dyDescent="0.25">
      <c r="B18" s="8" t="s">
        <v>264</v>
      </c>
    </row>
    <row r="19" spans="2:21" x14ac:dyDescent="0.25">
      <c r="N19" s="167"/>
      <c r="O19" s="167"/>
      <c r="P19" s="167"/>
      <c r="Q19" s="167"/>
      <c r="R19" s="167"/>
    </row>
    <row r="20" spans="2:21" x14ac:dyDescent="0.25">
      <c r="B20" s="1" t="s">
        <v>149</v>
      </c>
    </row>
    <row r="21" spans="2:21" x14ac:dyDescent="0.2">
      <c r="B21" s="2" t="s">
        <v>318</v>
      </c>
      <c r="F21" s="152" t="s">
        <v>192</v>
      </c>
      <c r="J21" s="65">
        <f>SUM(L21:R21)</f>
        <v>859101389.19927979</v>
      </c>
      <c r="L21" s="129">
        <v>16933417.709129997</v>
      </c>
      <c r="M21" s="161"/>
      <c r="N21" s="129">
        <v>275840690.88902247</v>
      </c>
      <c r="O21" s="129">
        <v>295221517.93003929</v>
      </c>
      <c r="P21" s="129">
        <v>12440091.999540709</v>
      </c>
      <c r="Q21" s="129">
        <v>243278159.56289276</v>
      </c>
      <c r="R21" s="129">
        <v>15387511.108654488</v>
      </c>
      <c r="U21" s="9" t="s">
        <v>356</v>
      </c>
    </row>
    <row r="22" spans="2:21" x14ac:dyDescent="0.2">
      <c r="B22" s="2" t="s">
        <v>319</v>
      </c>
      <c r="F22" s="152" t="s">
        <v>192</v>
      </c>
      <c r="J22" s="65">
        <f>SUM(L22:R22)</f>
        <v>277228172.01290405</v>
      </c>
      <c r="L22" s="129">
        <v>5366761.6094966186</v>
      </c>
      <c r="M22" s="161"/>
      <c r="N22" s="129">
        <v>87846873.936846554</v>
      </c>
      <c r="O22" s="129">
        <v>99159430.212113366</v>
      </c>
      <c r="P22" s="129">
        <v>3897615.7385375402</v>
      </c>
      <c r="Q22" s="129">
        <v>77383281.346611738</v>
      </c>
      <c r="R22" s="129">
        <v>3574209.1692982111</v>
      </c>
      <c r="U22" s="9" t="s">
        <v>347</v>
      </c>
    </row>
    <row r="23" spans="2:21" s="157" customFormat="1" x14ac:dyDescent="0.2">
      <c r="F23" s="158"/>
      <c r="J23" s="159"/>
      <c r="L23" s="160"/>
      <c r="M23" s="160"/>
      <c r="N23" s="160"/>
      <c r="O23" s="160"/>
      <c r="P23" s="160"/>
      <c r="Q23" s="160"/>
      <c r="R23" s="160"/>
      <c r="U23" s="9"/>
    </row>
    <row r="24" spans="2:21" s="157" customFormat="1" x14ac:dyDescent="0.2">
      <c r="B24" s="157" t="s">
        <v>222</v>
      </c>
      <c r="F24" s="152" t="s">
        <v>192</v>
      </c>
      <c r="J24" s="65">
        <f>SUM(L24:R24)</f>
        <v>1136329561.2121837</v>
      </c>
      <c r="L24" s="65">
        <f t="shared" ref="L24:R24" si="0">L21+L22</f>
        <v>22300179.318626616</v>
      </c>
      <c r="M24" s="121"/>
      <c r="N24" s="65">
        <f t="shared" si="0"/>
        <v>363687564.82586902</v>
      </c>
      <c r="O24" s="65">
        <f t="shared" si="0"/>
        <v>394380948.14215267</v>
      </c>
      <c r="P24" s="65">
        <f t="shared" si="0"/>
        <v>16337707.73807825</v>
      </c>
      <c r="Q24" s="65">
        <f t="shared" si="0"/>
        <v>320661440.90950453</v>
      </c>
      <c r="R24" s="65">
        <f t="shared" si="0"/>
        <v>18961720.277952701</v>
      </c>
      <c r="U24" s="9"/>
    </row>
    <row r="25" spans="2:21" x14ac:dyDescent="0.25">
      <c r="U25" s="9"/>
    </row>
    <row r="26" spans="2:21" x14ac:dyDescent="0.25">
      <c r="B26" s="1" t="s">
        <v>148</v>
      </c>
      <c r="U26" s="9"/>
    </row>
    <row r="27" spans="2:21" x14ac:dyDescent="0.2">
      <c r="B27" s="2" t="s">
        <v>223</v>
      </c>
      <c r="F27" s="152" t="s">
        <v>76</v>
      </c>
      <c r="L27" s="125">
        <v>2.11</v>
      </c>
      <c r="M27" s="162"/>
      <c r="N27" s="125">
        <v>2.1</v>
      </c>
      <c r="O27" s="125">
        <v>2.06</v>
      </c>
      <c r="P27" s="125">
        <v>2.12</v>
      </c>
      <c r="Q27" s="125">
        <v>2.1</v>
      </c>
      <c r="R27" s="125">
        <v>2.3000000000000003</v>
      </c>
      <c r="U27" s="9" t="s">
        <v>358</v>
      </c>
    </row>
    <row r="28" spans="2:21" x14ac:dyDescent="0.25">
      <c r="U28" s="9"/>
    </row>
    <row r="31" spans="2:21" x14ac:dyDescent="0.25">
      <c r="L31" s="167"/>
      <c r="M31" s="167"/>
      <c r="N31" s="167"/>
      <c r="O31" s="167"/>
      <c r="P31" s="167"/>
      <c r="Q31" s="167"/>
      <c r="R31" s="167"/>
    </row>
    <row r="33" spans="12:18" x14ac:dyDescent="0.25">
      <c r="L33" s="167"/>
      <c r="M33" s="167"/>
      <c r="N33" s="167"/>
      <c r="O33" s="167"/>
      <c r="P33" s="167"/>
      <c r="Q33" s="167"/>
      <c r="R33" s="16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CC"/>
  </sheetPr>
  <dimension ref="A2:W179"/>
  <sheetViews>
    <sheetView showGridLines="0" zoomScale="85" zoomScaleNormal="85" workbookViewId="0">
      <pane xSplit="6" ySplit="18" topLeftCell="G19" activePane="bottomRight" state="frozen"/>
      <selection activeCell="Q51" sqref="Q51"/>
      <selection pane="topRight" activeCell="Q51" sqref="Q51"/>
      <selection pane="bottomLeft" activeCell="Q51" sqref="Q51"/>
      <selection pane="bottomRight" activeCell="G19" sqref="G19"/>
    </sheetView>
  </sheetViews>
  <sheetFormatPr defaultRowHeight="12.75" x14ac:dyDescent="0.25"/>
  <cols>
    <col min="1" max="1" width="4" style="2" customWidth="1"/>
    <col min="2" max="2" width="63" style="2" customWidth="1"/>
    <col min="3" max="5" width="4.5703125" style="2" customWidth="1"/>
    <col min="6" max="6" width="13.28515625" style="2" bestFit="1" customWidth="1"/>
    <col min="7" max="7" width="2.7109375" style="2" customWidth="1"/>
    <col min="8" max="8" width="13.7109375" style="2" customWidth="1"/>
    <col min="9" max="9" width="2.7109375" style="2" customWidth="1"/>
    <col min="10" max="10" width="13.7109375" style="2" customWidth="1"/>
    <col min="11" max="11" width="2.7109375" style="2" customWidth="1"/>
    <col min="12" max="18" width="13.28515625" style="2" customWidth="1"/>
    <col min="19" max="20" width="2.7109375" style="2" customWidth="1"/>
    <col min="21" max="21" width="17.140625" style="2" customWidth="1"/>
    <col min="22" max="22" width="2.7109375" style="2" customWidth="1"/>
    <col min="23" max="23" width="13.7109375" style="2" customWidth="1"/>
    <col min="24" max="24" width="2.7109375" style="2" customWidth="1"/>
    <col min="25" max="39" width="13.7109375" style="2" customWidth="1"/>
    <col min="40" max="16384" width="9.140625" style="2"/>
  </cols>
  <sheetData>
    <row r="2" spans="2:18" s="25" customFormat="1" ht="18" x14ac:dyDescent="0.25">
      <c r="B2" s="25" t="s">
        <v>224</v>
      </c>
    </row>
    <row r="4" spans="2:18" x14ac:dyDescent="0.25">
      <c r="B4" s="1" t="s">
        <v>30</v>
      </c>
      <c r="C4" s="1"/>
      <c r="D4" s="1"/>
    </row>
    <row r="5" spans="2:18" x14ac:dyDescent="0.2">
      <c r="B5" s="66" t="s">
        <v>225</v>
      </c>
      <c r="L5" s="43"/>
      <c r="M5" s="43"/>
      <c r="N5" s="43"/>
      <c r="O5" s="43"/>
      <c r="P5" s="43"/>
      <c r="Q5" s="43"/>
      <c r="R5" s="43"/>
    </row>
    <row r="6" spans="2:18" x14ac:dyDescent="0.2">
      <c r="B6" s="66" t="s">
        <v>226</v>
      </c>
      <c r="C6" s="3"/>
      <c r="D6" s="3"/>
      <c r="H6" s="26"/>
      <c r="L6" s="43"/>
      <c r="M6" s="43"/>
      <c r="N6" s="43"/>
      <c r="O6" s="43"/>
      <c r="P6" s="43"/>
      <c r="Q6" s="43"/>
      <c r="R6" s="43"/>
    </row>
    <row r="7" spans="2:18" x14ac:dyDescent="0.2">
      <c r="B7" s="66"/>
      <c r="C7" s="3"/>
      <c r="D7" s="3"/>
      <c r="L7" s="43"/>
      <c r="M7" s="43"/>
      <c r="N7" s="43"/>
      <c r="O7" s="43"/>
      <c r="P7" s="43"/>
      <c r="Q7" s="43"/>
      <c r="R7" s="43"/>
    </row>
    <row r="8" spans="2:18" x14ac:dyDescent="0.2">
      <c r="B8" s="66" t="s">
        <v>109</v>
      </c>
      <c r="C8" s="3"/>
      <c r="D8" s="3"/>
      <c r="L8" s="43"/>
      <c r="M8" s="43"/>
      <c r="N8" s="43"/>
      <c r="O8" s="43"/>
      <c r="P8" s="43"/>
      <c r="Q8" s="43"/>
      <c r="R8" s="43"/>
    </row>
    <row r="9" spans="2:18" x14ac:dyDescent="0.2">
      <c r="B9" s="66" t="s">
        <v>172</v>
      </c>
      <c r="C9" s="3"/>
      <c r="D9" s="3"/>
      <c r="L9" s="43"/>
      <c r="M9" s="43"/>
      <c r="N9" s="43"/>
      <c r="O9" s="43"/>
      <c r="P9" s="43"/>
      <c r="Q9" s="43"/>
      <c r="R9" s="43"/>
    </row>
    <row r="10" spans="2:18" x14ac:dyDescent="0.2">
      <c r="B10" s="66" t="s">
        <v>227</v>
      </c>
      <c r="C10" s="3"/>
      <c r="D10" s="3"/>
      <c r="L10" s="43"/>
      <c r="M10" s="43"/>
      <c r="N10" s="43"/>
      <c r="O10" s="43"/>
      <c r="P10" s="43"/>
      <c r="Q10" s="43"/>
      <c r="R10" s="43"/>
    </row>
    <row r="11" spans="2:18" x14ac:dyDescent="0.2">
      <c r="B11" s="66" t="s">
        <v>110</v>
      </c>
      <c r="C11" s="3"/>
      <c r="D11" s="3"/>
      <c r="L11" s="43"/>
      <c r="M11" s="43"/>
      <c r="N11" s="43"/>
      <c r="O11" s="43"/>
      <c r="P11" s="43"/>
      <c r="Q11" s="43"/>
      <c r="R11" s="43"/>
    </row>
    <row r="12" spans="2:18" x14ac:dyDescent="0.2">
      <c r="B12" s="66" t="s">
        <v>173</v>
      </c>
      <c r="C12" s="3"/>
      <c r="D12" s="3"/>
      <c r="L12" s="43"/>
      <c r="M12" s="43"/>
      <c r="N12" s="43"/>
      <c r="O12" s="43"/>
      <c r="P12" s="43"/>
      <c r="Q12" s="43"/>
      <c r="R12" s="43"/>
    </row>
    <row r="13" spans="2:18" x14ac:dyDescent="0.2">
      <c r="B13" s="151" t="s">
        <v>261</v>
      </c>
      <c r="C13" s="3"/>
      <c r="D13" s="3"/>
      <c r="L13" s="43"/>
      <c r="M13" s="43"/>
      <c r="N13" s="43"/>
      <c r="O13" s="43"/>
      <c r="P13" s="43"/>
      <c r="Q13" s="43"/>
      <c r="R13" s="43"/>
    </row>
    <row r="14" spans="2:18" x14ac:dyDescent="0.2">
      <c r="B14" s="66"/>
      <c r="C14" s="3"/>
      <c r="D14" s="3"/>
      <c r="L14" s="43"/>
      <c r="M14" s="43"/>
      <c r="N14" s="43"/>
      <c r="O14" s="43"/>
      <c r="P14" s="43"/>
      <c r="Q14" s="43"/>
      <c r="R14" s="43"/>
    </row>
    <row r="15" spans="2:18" x14ac:dyDescent="0.2">
      <c r="B15" s="66" t="s">
        <v>111</v>
      </c>
      <c r="C15" s="3"/>
      <c r="D15" s="3"/>
      <c r="L15" s="43"/>
      <c r="M15" s="43"/>
      <c r="N15" s="43"/>
      <c r="O15" s="43"/>
      <c r="P15" s="43"/>
      <c r="Q15" s="43"/>
      <c r="R15" s="43"/>
    </row>
    <row r="17" spans="2:23" s="8" customFormat="1" x14ac:dyDescent="0.25">
      <c r="B17" s="8" t="s">
        <v>46</v>
      </c>
      <c r="F17" s="8" t="s">
        <v>28</v>
      </c>
      <c r="H17" s="8" t="s">
        <v>29</v>
      </c>
      <c r="J17" s="8" t="s">
        <v>50</v>
      </c>
      <c r="L17" s="8" t="s">
        <v>151</v>
      </c>
      <c r="M17" s="8" t="s">
        <v>65</v>
      </c>
      <c r="N17" s="8" t="s">
        <v>66</v>
      </c>
      <c r="O17" s="8" t="s">
        <v>67</v>
      </c>
      <c r="P17" s="8" t="s">
        <v>68</v>
      </c>
      <c r="Q17" s="8" t="s">
        <v>69</v>
      </c>
      <c r="R17" s="8" t="s">
        <v>70</v>
      </c>
      <c r="U17" s="8" t="s">
        <v>47</v>
      </c>
      <c r="W17" s="8" t="s">
        <v>48</v>
      </c>
    </row>
    <row r="20" spans="2:23" s="8" customFormat="1" x14ac:dyDescent="0.25">
      <c r="B20" s="8" t="s">
        <v>236</v>
      </c>
    </row>
    <row r="21" spans="2:23" s="9" customFormat="1" ht="15" x14ac:dyDescent="0.25">
      <c r="F21" s="54"/>
      <c r="J21" s="61"/>
      <c r="L21" s="55"/>
      <c r="M21" s="55"/>
      <c r="N21" s="55"/>
      <c r="O21" s="55"/>
      <c r="P21" s="55"/>
      <c r="Q21" s="55"/>
      <c r="R21" s="55"/>
      <c r="V21" s="56"/>
    </row>
    <row r="22" spans="2:23" s="9" customFormat="1" ht="15" x14ac:dyDescent="0.25">
      <c r="B22" s="75" t="s">
        <v>112</v>
      </c>
      <c r="F22" s="54"/>
      <c r="J22" s="61"/>
      <c r="L22" s="55"/>
      <c r="M22" s="55"/>
      <c r="N22" s="55"/>
      <c r="O22" s="55"/>
      <c r="P22" s="55"/>
      <c r="Q22" s="55"/>
      <c r="R22" s="55"/>
      <c r="V22" s="56"/>
    </row>
    <row r="23" spans="2:23" s="9" customFormat="1" ht="15" x14ac:dyDescent="0.25">
      <c r="B23" s="79"/>
      <c r="F23" s="54"/>
      <c r="J23" s="61"/>
      <c r="L23" s="36"/>
      <c r="M23" s="55"/>
      <c r="N23" s="55"/>
      <c r="O23" s="55"/>
      <c r="P23" s="55"/>
      <c r="Q23" s="55"/>
      <c r="R23" s="55"/>
      <c r="V23" s="56"/>
    </row>
    <row r="24" spans="2:23" s="9" customFormat="1" x14ac:dyDescent="0.2">
      <c r="B24" s="75" t="s">
        <v>259</v>
      </c>
      <c r="F24" s="54"/>
      <c r="J24" s="61"/>
      <c r="L24" s="55"/>
      <c r="M24" s="55"/>
      <c r="N24" s="55"/>
      <c r="O24" s="55"/>
      <c r="P24" s="55"/>
      <c r="Q24" s="55"/>
      <c r="R24" s="55"/>
    </row>
    <row r="25" spans="2:23" s="9" customFormat="1" x14ac:dyDescent="0.2">
      <c r="B25" s="80" t="s">
        <v>113</v>
      </c>
      <c r="F25" s="54"/>
      <c r="J25" s="61"/>
      <c r="L25" s="55"/>
      <c r="M25" s="55"/>
      <c r="N25" s="55"/>
      <c r="O25" s="55"/>
      <c r="P25" s="55"/>
      <c r="Q25" s="55"/>
      <c r="R25" s="55"/>
    </row>
    <row r="26" spans="2:23" s="9" customFormat="1" ht="15" x14ac:dyDescent="0.25">
      <c r="B26" s="54" t="s">
        <v>114</v>
      </c>
      <c r="F26" s="66" t="s">
        <v>181</v>
      </c>
      <c r="J26" s="61"/>
      <c r="L26" s="129">
        <v>0</v>
      </c>
      <c r="M26" s="129">
        <v>437761.1</v>
      </c>
      <c r="N26" s="129">
        <v>1158695.2734447243</v>
      </c>
      <c r="O26" s="129">
        <v>55774708.280000001</v>
      </c>
      <c r="P26" s="129">
        <v>97208.12</v>
      </c>
      <c r="Q26" s="129">
        <v>20384472.503916871</v>
      </c>
      <c r="R26" s="129">
        <v>25894.01</v>
      </c>
      <c r="S26" s="66"/>
      <c r="U26" s="143" t="s">
        <v>268</v>
      </c>
      <c r="V26" s="56"/>
    </row>
    <row r="27" spans="2:23" s="9" customFormat="1" ht="15" x14ac:dyDescent="0.25">
      <c r="B27" s="54" t="s">
        <v>115</v>
      </c>
      <c r="F27" s="66" t="s">
        <v>181</v>
      </c>
      <c r="J27" s="61"/>
      <c r="L27" s="129">
        <v>0</v>
      </c>
      <c r="M27" s="129">
        <v>4595.0415285185263</v>
      </c>
      <c r="N27" s="129">
        <v>0</v>
      </c>
      <c r="O27" s="129">
        <v>0</v>
      </c>
      <c r="P27" s="129">
        <v>0</v>
      </c>
      <c r="Q27" s="129">
        <v>0</v>
      </c>
      <c r="R27" s="129">
        <v>0</v>
      </c>
      <c r="S27" s="66"/>
      <c r="U27" s="143" t="s">
        <v>269</v>
      </c>
      <c r="V27" s="56"/>
    </row>
    <row r="28" spans="2:23" s="9" customFormat="1" ht="15" x14ac:dyDescent="0.25">
      <c r="B28" s="80" t="s">
        <v>177</v>
      </c>
      <c r="F28" s="84"/>
      <c r="J28" s="61"/>
      <c r="L28" s="76"/>
      <c r="M28" s="76"/>
      <c r="N28" s="76"/>
      <c r="O28" s="76"/>
      <c r="P28" s="76"/>
      <c r="Q28" s="76"/>
      <c r="R28" s="76"/>
      <c r="S28" s="84"/>
      <c r="U28" s="143"/>
      <c r="V28" s="56"/>
    </row>
    <row r="29" spans="2:23" s="9" customFormat="1" ht="15" x14ac:dyDescent="0.25">
      <c r="B29" s="54" t="s">
        <v>114</v>
      </c>
      <c r="F29" s="66" t="s">
        <v>181</v>
      </c>
      <c r="J29" s="61"/>
      <c r="L29" s="129">
        <v>0</v>
      </c>
      <c r="M29" s="129">
        <v>0</v>
      </c>
      <c r="N29" s="129">
        <v>0</v>
      </c>
      <c r="O29" s="129">
        <v>0</v>
      </c>
      <c r="P29" s="129">
        <v>0</v>
      </c>
      <c r="Q29" s="129">
        <v>0</v>
      </c>
      <c r="R29" s="129">
        <v>0</v>
      </c>
      <c r="S29" s="66"/>
      <c r="U29" s="143" t="s">
        <v>270</v>
      </c>
      <c r="V29" s="56"/>
    </row>
    <row r="30" spans="2:23" s="9" customFormat="1" ht="15" x14ac:dyDescent="0.25">
      <c r="B30" s="54" t="s">
        <v>115</v>
      </c>
      <c r="F30" s="66" t="s">
        <v>181</v>
      </c>
      <c r="J30" s="61"/>
      <c r="L30" s="129">
        <v>0</v>
      </c>
      <c r="M30" s="129">
        <v>0</v>
      </c>
      <c r="N30" s="129">
        <v>0</v>
      </c>
      <c r="O30" s="129">
        <v>0</v>
      </c>
      <c r="P30" s="129">
        <v>0</v>
      </c>
      <c r="Q30" s="129">
        <v>0</v>
      </c>
      <c r="R30" s="129">
        <v>0</v>
      </c>
      <c r="S30" s="66"/>
      <c r="U30" s="143" t="s">
        <v>271</v>
      </c>
      <c r="V30" s="56"/>
    </row>
    <row r="31" spans="2:23" s="9" customFormat="1" ht="15" x14ac:dyDescent="0.25">
      <c r="B31" s="80" t="s">
        <v>178</v>
      </c>
      <c r="F31" s="84"/>
      <c r="J31" s="61"/>
      <c r="L31" s="76"/>
      <c r="M31" s="76"/>
      <c r="N31" s="76"/>
      <c r="O31" s="84"/>
      <c r="P31" s="76"/>
      <c r="Q31" s="76"/>
      <c r="R31" s="76"/>
      <c r="S31" s="84"/>
      <c r="U31" s="143"/>
      <c r="V31" s="56"/>
    </row>
    <row r="32" spans="2:23" s="9" customFormat="1" x14ac:dyDescent="0.2">
      <c r="B32" s="54" t="s">
        <v>114</v>
      </c>
      <c r="F32" s="66" t="s">
        <v>181</v>
      </c>
      <c r="J32" s="61"/>
      <c r="L32" s="129">
        <v>0</v>
      </c>
      <c r="M32" s="129">
        <v>0</v>
      </c>
      <c r="N32" s="129">
        <v>0</v>
      </c>
      <c r="O32" s="129">
        <v>0</v>
      </c>
      <c r="P32" s="129">
        <v>0</v>
      </c>
      <c r="Q32" s="129">
        <v>0</v>
      </c>
      <c r="R32" s="129">
        <v>0</v>
      </c>
      <c r="S32" s="66"/>
      <c r="U32" s="143" t="s">
        <v>272</v>
      </c>
    </row>
    <row r="33" spans="2:23" s="9" customFormat="1" x14ac:dyDescent="0.2">
      <c r="B33" s="54" t="s">
        <v>115</v>
      </c>
      <c r="F33" s="66" t="s">
        <v>181</v>
      </c>
      <c r="J33" s="61"/>
      <c r="L33" s="129">
        <v>0</v>
      </c>
      <c r="M33" s="129">
        <v>0</v>
      </c>
      <c r="N33" s="129">
        <v>0</v>
      </c>
      <c r="O33" s="129">
        <v>0</v>
      </c>
      <c r="P33" s="129">
        <v>0</v>
      </c>
      <c r="Q33" s="129">
        <v>0</v>
      </c>
      <c r="R33" s="129">
        <v>0</v>
      </c>
      <c r="S33" s="66"/>
      <c r="U33" s="143" t="s">
        <v>273</v>
      </c>
    </row>
    <row r="34" spans="2:23" s="9" customFormat="1" ht="12.75" customHeight="1" x14ac:dyDescent="0.2">
      <c r="B34" s="75"/>
      <c r="F34" s="66"/>
      <c r="J34" s="61"/>
      <c r="L34" s="88"/>
      <c r="M34" s="79"/>
      <c r="N34" s="79"/>
      <c r="O34" s="79"/>
      <c r="P34" s="79"/>
      <c r="Q34" s="79"/>
      <c r="R34" s="79"/>
      <c r="S34" s="66"/>
      <c r="U34" s="66"/>
    </row>
    <row r="35" spans="2:23" s="9" customFormat="1" ht="12.75" customHeight="1" x14ac:dyDescent="0.25">
      <c r="B35" s="75" t="s">
        <v>260</v>
      </c>
      <c r="F35" s="66"/>
      <c r="J35" s="62"/>
      <c r="L35" s="88"/>
      <c r="M35" s="79"/>
      <c r="N35" s="79"/>
      <c r="O35" s="79"/>
      <c r="P35" s="79"/>
      <c r="Q35" s="79"/>
      <c r="R35" s="79"/>
      <c r="S35" s="66"/>
      <c r="U35" s="66"/>
    </row>
    <row r="36" spans="2:23" s="9" customFormat="1" ht="12.75" customHeight="1" x14ac:dyDescent="0.25">
      <c r="B36" s="75"/>
      <c r="F36" s="66"/>
      <c r="J36" s="61"/>
      <c r="L36" s="88"/>
      <c r="M36" s="79"/>
      <c r="N36" s="79"/>
      <c r="O36" s="79"/>
      <c r="P36" s="79"/>
      <c r="Q36" s="79"/>
      <c r="R36" s="79"/>
      <c r="S36" s="66"/>
      <c r="U36" s="66"/>
      <c r="V36" s="56"/>
    </row>
    <row r="37" spans="2:23" s="9" customFormat="1" ht="12.75" customHeight="1" x14ac:dyDescent="0.25">
      <c r="B37" s="145" t="s">
        <v>203</v>
      </c>
      <c r="F37" s="143"/>
      <c r="J37" s="144"/>
      <c r="L37" s="146"/>
      <c r="M37" s="143"/>
      <c r="N37" s="147"/>
      <c r="O37" s="141"/>
      <c r="P37" s="146"/>
      <c r="Q37" s="141"/>
      <c r="R37" s="143"/>
      <c r="S37" s="143"/>
      <c r="T37" s="143"/>
      <c r="V37" s="143"/>
      <c r="W37" s="56"/>
    </row>
    <row r="38" spans="2:23" s="9" customFormat="1" ht="12.75" customHeight="1" x14ac:dyDescent="0.2">
      <c r="B38" s="81" t="s">
        <v>204</v>
      </c>
      <c r="F38" s="143" t="s">
        <v>181</v>
      </c>
      <c r="J38" s="144"/>
      <c r="L38" s="148"/>
      <c r="M38" s="143"/>
      <c r="N38" s="109"/>
      <c r="O38" s="143"/>
      <c r="P38" s="129">
        <v>0</v>
      </c>
      <c r="Q38" s="143"/>
      <c r="R38" s="143"/>
      <c r="S38" s="143"/>
      <c r="T38" s="143"/>
      <c r="U38" s="143" t="s">
        <v>316</v>
      </c>
      <c r="V38" s="143"/>
    </row>
    <row r="39" spans="2:23" s="9" customFormat="1" ht="12.75" customHeight="1" x14ac:dyDescent="0.2">
      <c r="B39" s="81" t="s">
        <v>205</v>
      </c>
      <c r="F39" s="143" t="s">
        <v>181</v>
      </c>
      <c r="J39" s="144"/>
      <c r="L39" s="148"/>
      <c r="M39" s="143"/>
      <c r="N39" s="109">
        <v>949647.03192995407</v>
      </c>
      <c r="O39" s="143"/>
      <c r="P39" s="129">
        <v>0</v>
      </c>
      <c r="Q39" s="143"/>
      <c r="R39" s="143"/>
      <c r="S39" s="143"/>
      <c r="T39" s="143"/>
      <c r="U39" s="143" t="s">
        <v>316</v>
      </c>
      <c r="V39" s="143"/>
    </row>
    <row r="40" spans="2:23" s="9" customFormat="1" ht="12.75" customHeight="1" x14ac:dyDescent="0.2">
      <c r="B40" s="81" t="s">
        <v>206</v>
      </c>
      <c r="F40" s="143" t="s">
        <v>181</v>
      </c>
      <c r="J40" s="144"/>
      <c r="L40" s="148"/>
      <c r="M40" s="143"/>
      <c r="N40" s="109">
        <v>1899294.0638599205</v>
      </c>
      <c r="O40" s="143"/>
      <c r="P40" s="129">
        <v>0</v>
      </c>
      <c r="Q40" s="143"/>
      <c r="R40" s="143"/>
      <c r="S40" s="143"/>
      <c r="T40" s="143"/>
      <c r="U40" s="143" t="s">
        <v>316</v>
      </c>
      <c r="V40" s="143"/>
    </row>
    <row r="41" spans="2:23" s="9" customFormat="1" x14ac:dyDescent="0.2">
      <c r="B41" s="81"/>
      <c r="F41" s="66"/>
      <c r="J41" s="61"/>
      <c r="L41" s="88"/>
      <c r="M41" s="79"/>
      <c r="N41" s="79"/>
      <c r="O41" s="79"/>
      <c r="P41" s="79"/>
      <c r="Q41" s="79"/>
      <c r="R41" s="79"/>
      <c r="S41" s="66"/>
      <c r="T41" s="66"/>
    </row>
    <row r="42" spans="2:23" s="8" customFormat="1" x14ac:dyDescent="0.25">
      <c r="B42" s="8" t="s">
        <v>116</v>
      </c>
    </row>
    <row r="43" spans="2:23" s="9" customFormat="1" x14ac:dyDescent="0.2">
      <c r="B43" s="81"/>
      <c r="F43" s="66"/>
      <c r="J43" s="61"/>
      <c r="L43" s="88"/>
      <c r="M43" s="79"/>
      <c r="N43" s="79"/>
      <c r="O43" s="79"/>
      <c r="P43" s="79"/>
      <c r="Q43" s="79"/>
      <c r="R43" s="79"/>
      <c r="S43" s="66"/>
      <c r="T43" s="66"/>
    </row>
    <row r="44" spans="2:23" s="9" customFormat="1" ht="15" x14ac:dyDescent="0.25">
      <c r="B44" s="75" t="s">
        <v>117</v>
      </c>
      <c r="F44" s="67"/>
      <c r="J44" s="61"/>
      <c r="L44" s="89"/>
      <c r="M44" s="89"/>
      <c r="N44" s="89"/>
      <c r="O44" s="89"/>
      <c r="P44" s="89"/>
      <c r="Q44" s="89"/>
      <c r="R44" s="89"/>
      <c r="S44" s="67"/>
      <c r="T44" s="67"/>
      <c r="U44" s="56"/>
    </row>
    <row r="45" spans="2:23" s="9" customFormat="1" ht="15" x14ac:dyDescent="0.25">
      <c r="B45" s="75"/>
      <c r="F45" s="67"/>
      <c r="J45" s="61"/>
      <c r="L45" s="39"/>
      <c r="M45" s="39"/>
      <c r="N45" s="39"/>
      <c r="O45" s="39"/>
      <c r="P45" s="39"/>
      <c r="Q45" s="39"/>
      <c r="R45" s="39"/>
      <c r="S45" s="67"/>
      <c r="T45" s="67"/>
      <c r="U45" s="56"/>
    </row>
    <row r="46" spans="2:23" s="9" customFormat="1" x14ac:dyDescent="0.2">
      <c r="B46" s="82" t="s">
        <v>152</v>
      </c>
      <c r="F46" s="38" t="s">
        <v>155</v>
      </c>
      <c r="J46" s="61"/>
      <c r="L46" s="129">
        <v>20486481.42662188</v>
      </c>
      <c r="M46" s="129">
        <v>28942303.440613814</v>
      </c>
      <c r="N46" s="129">
        <v>334730344.75774962</v>
      </c>
      <c r="O46" s="129">
        <v>413172984.34947908</v>
      </c>
      <c r="P46" s="129">
        <v>15209838.434218319</v>
      </c>
      <c r="Q46" s="129">
        <v>292169148.05520111</v>
      </c>
      <c r="R46" s="129">
        <v>16410355.365178086</v>
      </c>
      <c r="S46" s="82"/>
      <c r="T46" s="67"/>
      <c r="U46" s="9" t="s">
        <v>212</v>
      </c>
    </row>
    <row r="47" spans="2:23" s="9" customFormat="1" x14ac:dyDescent="0.2">
      <c r="B47" s="82" t="s">
        <v>153</v>
      </c>
      <c r="F47" s="82" t="s">
        <v>76</v>
      </c>
      <c r="L47" s="125">
        <v>1.76</v>
      </c>
      <c r="M47" s="125">
        <v>1.74</v>
      </c>
      <c r="N47" s="125">
        <v>1.76</v>
      </c>
      <c r="O47" s="125">
        <v>1.51</v>
      </c>
      <c r="P47" s="125">
        <v>1.74</v>
      </c>
      <c r="Q47" s="125">
        <v>1.64</v>
      </c>
      <c r="R47" s="125">
        <v>2.02</v>
      </c>
      <c r="S47" s="82"/>
      <c r="T47" s="67"/>
      <c r="U47" s="9" t="s">
        <v>213</v>
      </c>
    </row>
    <row r="48" spans="2:23" s="86" customFormat="1" x14ac:dyDescent="0.2">
      <c r="B48" s="85"/>
      <c r="F48" s="85"/>
    </row>
    <row r="49" spans="2:21" s="87" customFormat="1" x14ac:dyDescent="0.2">
      <c r="B49" s="90"/>
      <c r="F49" s="91"/>
      <c r="H49" s="92"/>
    </row>
    <row r="50" spans="2:21" s="86" customFormat="1" x14ac:dyDescent="0.2">
      <c r="B50" s="90"/>
      <c r="F50" s="91"/>
      <c r="H50" s="92"/>
    </row>
    <row r="51" spans="2:21" s="9" customFormat="1" x14ac:dyDescent="0.2">
      <c r="B51" s="77"/>
      <c r="F51" s="93"/>
      <c r="H51" s="92"/>
    </row>
    <row r="52" spans="2:21" s="9" customFormat="1" x14ac:dyDescent="0.2">
      <c r="B52" s="77"/>
      <c r="F52" s="93"/>
    </row>
    <row r="53" spans="2:21" s="9" customFormat="1" x14ac:dyDescent="0.2">
      <c r="B53" s="67"/>
      <c r="F53" s="66"/>
    </row>
    <row r="54" spans="2:21" s="9" customFormat="1" ht="15" x14ac:dyDescent="0.25">
      <c r="B54" s="67"/>
      <c r="F54" s="66"/>
      <c r="J54" s="61"/>
      <c r="L54" s="55"/>
      <c r="M54" s="55"/>
      <c r="N54" s="55"/>
      <c r="O54" s="55"/>
      <c r="P54" s="55"/>
      <c r="Q54" s="55"/>
      <c r="R54" s="55"/>
      <c r="U54" s="56"/>
    </row>
    <row r="55" spans="2:21" s="9" customFormat="1" ht="15" x14ac:dyDescent="0.25">
      <c r="B55" s="67"/>
      <c r="F55" s="66"/>
      <c r="J55" s="61"/>
      <c r="L55" s="55"/>
      <c r="M55" s="55"/>
      <c r="N55" s="55"/>
      <c r="O55" s="55"/>
      <c r="P55" s="55"/>
      <c r="Q55" s="55"/>
      <c r="R55" s="55"/>
      <c r="U55" s="56"/>
    </row>
    <row r="56" spans="2:21" s="9" customFormat="1" ht="15" x14ac:dyDescent="0.25">
      <c r="F56" s="54"/>
      <c r="J56" s="61"/>
      <c r="L56" s="55"/>
      <c r="M56" s="55"/>
      <c r="N56" s="55"/>
      <c r="O56" s="55"/>
      <c r="P56" s="55"/>
      <c r="Q56" s="55"/>
      <c r="R56" s="55"/>
      <c r="U56" s="56"/>
    </row>
    <row r="57" spans="2:21" s="9" customFormat="1" ht="15" x14ac:dyDescent="0.25">
      <c r="F57" s="54"/>
      <c r="J57" s="61"/>
      <c r="L57" s="55"/>
      <c r="M57" s="55"/>
      <c r="N57" s="55"/>
      <c r="O57" s="55"/>
      <c r="P57" s="55"/>
      <c r="Q57" s="55"/>
      <c r="R57" s="55"/>
      <c r="U57" s="56"/>
    </row>
    <row r="58" spans="2:21" s="9" customFormat="1" ht="15" x14ac:dyDescent="0.25">
      <c r="F58" s="54"/>
      <c r="J58" s="61"/>
      <c r="L58" s="55"/>
      <c r="M58" s="55"/>
      <c r="N58" s="55"/>
      <c r="O58" s="55"/>
      <c r="P58" s="55"/>
      <c r="Q58" s="55"/>
      <c r="R58" s="55"/>
      <c r="U58" s="56"/>
    </row>
    <row r="59" spans="2:21" s="9" customFormat="1" ht="15" x14ac:dyDescent="0.25">
      <c r="F59" s="54"/>
      <c r="J59" s="61"/>
      <c r="L59" s="55"/>
      <c r="M59" s="55"/>
      <c r="N59" s="55"/>
      <c r="O59" s="55"/>
      <c r="P59" s="55"/>
      <c r="Q59" s="55"/>
      <c r="R59" s="55"/>
      <c r="U59" s="56"/>
    </row>
    <row r="60" spans="2:21" s="9" customFormat="1" x14ac:dyDescent="0.2">
      <c r="F60" s="54"/>
      <c r="J60" s="61"/>
      <c r="L60" s="55"/>
      <c r="M60" s="55"/>
      <c r="N60" s="55"/>
      <c r="O60" s="55"/>
      <c r="P60" s="55"/>
      <c r="Q60" s="55"/>
      <c r="R60" s="55"/>
    </row>
    <row r="61" spans="2:21" s="9" customFormat="1" x14ac:dyDescent="0.2">
      <c r="B61" s="68"/>
      <c r="F61" s="54"/>
      <c r="J61" s="61"/>
      <c r="L61" s="55"/>
      <c r="M61" s="55"/>
      <c r="N61" s="55"/>
      <c r="O61" s="55"/>
      <c r="P61" s="55"/>
      <c r="Q61" s="55"/>
      <c r="R61" s="55"/>
    </row>
    <row r="62" spans="2:21" s="9" customFormat="1" ht="15" x14ac:dyDescent="0.25">
      <c r="F62" s="54"/>
      <c r="J62" s="61"/>
      <c r="L62" s="55"/>
      <c r="M62" s="55"/>
      <c r="N62" s="55"/>
      <c r="O62" s="55"/>
      <c r="P62" s="55"/>
      <c r="Q62" s="55"/>
      <c r="R62" s="55"/>
      <c r="U62" s="56"/>
    </row>
    <row r="63" spans="2:21" s="9" customFormat="1" ht="15" x14ac:dyDescent="0.25">
      <c r="F63" s="54"/>
      <c r="J63" s="61"/>
      <c r="L63" s="55"/>
      <c r="M63" s="55"/>
      <c r="N63" s="55"/>
      <c r="O63" s="55"/>
      <c r="P63" s="55"/>
      <c r="Q63" s="55"/>
      <c r="R63" s="55"/>
      <c r="U63" s="56"/>
    </row>
    <row r="64" spans="2:21" s="9" customFormat="1" ht="15" x14ac:dyDescent="0.25">
      <c r="F64" s="54"/>
      <c r="J64" s="61"/>
      <c r="L64" s="55"/>
      <c r="M64" s="55"/>
      <c r="N64" s="55"/>
      <c r="O64" s="55"/>
      <c r="P64" s="55"/>
      <c r="Q64" s="55"/>
      <c r="R64" s="55"/>
      <c r="U64" s="56"/>
    </row>
    <row r="65" spans="2:21" s="9" customFormat="1" ht="15" x14ac:dyDescent="0.25">
      <c r="F65" s="54"/>
      <c r="J65" s="61"/>
      <c r="L65" s="55"/>
      <c r="M65" s="55"/>
      <c r="N65" s="55"/>
      <c r="O65" s="55"/>
      <c r="P65" s="55"/>
      <c r="Q65" s="55"/>
      <c r="R65" s="55"/>
      <c r="U65" s="56"/>
    </row>
    <row r="66" spans="2:21" s="9" customFormat="1" ht="15" x14ac:dyDescent="0.25">
      <c r="F66" s="54"/>
      <c r="J66" s="61"/>
      <c r="L66" s="55"/>
      <c r="M66" s="55"/>
      <c r="N66" s="55"/>
      <c r="O66" s="55"/>
      <c r="P66" s="55"/>
      <c r="Q66" s="55"/>
      <c r="R66" s="55"/>
      <c r="U66" s="56"/>
    </row>
    <row r="67" spans="2:21" s="9" customFormat="1" ht="15" x14ac:dyDescent="0.25">
      <c r="F67" s="54"/>
      <c r="J67" s="61"/>
      <c r="L67" s="55"/>
      <c r="M67" s="55"/>
      <c r="N67" s="55"/>
      <c r="O67" s="55"/>
      <c r="P67" s="55"/>
      <c r="Q67" s="55"/>
      <c r="R67" s="55"/>
      <c r="U67" s="56"/>
    </row>
    <row r="68" spans="2:21" s="9" customFormat="1" x14ac:dyDescent="0.2">
      <c r="F68" s="54"/>
      <c r="J68" s="61"/>
      <c r="L68" s="55"/>
      <c r="M68" s="55"/>
      <c r="N68" s="55"/>
      <c r="O68" s="55"/>
      <c r="P68" s="55"/>
      <c r="Q68" s="55"/>
      <c r="R68" s="55"/>
    </row>
    <row r="69" spans="2:21" s="9" customFormat="1" x14ac:dyDescent="0.2">
      <c r="B69" s="68"/>
      <c r="F69" s="54"/>
      <c r="J69" s="61"/>
      <c r="L69" s="55"/>
      <c r="M69" s="55"/>
      <c r="N69" s="55"/>
      <c r="O69" s="55"/>
      <c r="P69" s="55"/>
      <c r="Q69" s="55"/>
      <c r="R69" s="55"/>
    </row>
    <row r="70" spans="2:21" s="9" customFormat="1" x14ac:dyDescent="0.2">
      <c r="F70" s="54"/>
      <c r="J70" s="61"/>
      <c r="L70" s="55"/>
      <c r="M70" s="55"/>
      <c r="N70" s="55"/>
      <c r="O70" s="55"/>
      <c r="P70" s="55"/>
      <c r="Q70" s="55"/>
      <c r="R70" s="55"/>
    </row>
    <row r="71" spans="2:21" s="9" customFormat="1" ht="15" x14ac:dyDescent="0.25">
      <c r="B71" s="68"/>
      <c r="F71" s="54"/>
      <c r="J71" s="62"/>
      <c r="L71" s="56"/>
      <c r="M71" s="56"/>
      <c r="N71" s="56"/>
      <c r="O71" s="56"/>
      <c r="P71" s="56"/>
      <c r="Q71" s="56"/>
      <c r="R71" s="56"/>
    </row>
    <row r="72" spans="2:21" s="9" customFormat="1" ht="15" x14ac:dyDescent="0.25">
      <c r="F72" s="54"/>
      <c r="J72" s="61"/>
      <c r="L72" s="55"/>
      <c r="M72" s="55"/>
      <c r="N72" s="55"/>
      <c r="O72" s="55"/>
      <c r="P72" s="55"/>
      <c r="Q72" s="55"/>
      <c r="R72" s="55"/>
      <c r="U72" s="56"/>
    </row>
    <row r="73" spans="2:21" s="9" customFormat="1" ht="15" x14ac:dyDescent="0.25">
      <c r="F73" s="54"/>
      <c r="J73" s="61"/>
      <c r="L73" s="55"/>
      <c r="M73" s="55"/>
      <c r="N73" s="55"/>
      <c r="O73" s="55"/>
      <c r="P73" s="55"/>
      <c r="Q73" s="55"/>
      <c r="R73" s="55"/>
      <c r="U73" s="56"/>
    </row>
    <row r="74" spans="2:21" s="9" customFormat="1" ht="15" x14ac:dyDescent="0.25">
      <c r="F74" s="54"/>
      <c r="J74" s="61"/>
      <c r="L74" s="55"/>
      <c r="M74" s="55"/>
      <c r="N74" s="55"/>
      <c r="O74" s="55"/>
      <c r="P74" s="55"/>
      <c r="Q74" s="55"/>
      <c r="R74" s="55"/>
      <c r="U74" s="56"/>
    </row>
    <row r="75" spans="2:21" s="9" customFormat="1" ht="15" x14ac:dyDescent="0.25">
      <c r="F75" s="54"/>
      <c r="J75" s="61"/>
      <c r="L75" s="55"/>
      <c r="M75" s="55"/>
      <c r="N75" s="55"/>
      <c r="O75" s="55"/>
      <c r="P75" s="55"/>
      <c r="Q75" s="55"/>
      <c r="R75" s="55"/>
      <c r="U75" s="56"/>
    </row>
    <row r="76" spans="2:21" s="9" customFormat="1" x14ac:dyDescent="0.2">
      <c r="F76" s="54"/>
      <c r="J76" s="61"/>
      <c r="L76" s="55"/>
      <c r="M76" s="55"/>
      <c r="N76" s="55"/>
      <c r="O76" s="55"/>
      <c r="P76" s="55"/>
      <c r="Q76" s="55"/>
      <c r="R76" s="55"/>
    </row>
    <row r="77" spans="2:21" s="9" customFormat="1" x14ac:dyDescent="0.2">
      <c r="B77" s="68"/>
      <c r="F77" s="54"/>
      <c r="J77" s="61"/>
      <c r="L77" s="55"/>
      <c r="M77" s="55"/>
      <c r="N77" s="55"/>
      <c r="O77" s="55"/>
      <c r="P77" s="55"/>
      <c r="Q77" s="55"/>
      <c r="R77" s="55"/>
    </row>
    <row r="78" spans="2:21" s="9" customFormat="1" x14ac:dyDescent="0.2">
      <c r="F78" s="54"/>
      <c r="J78" s="61"/>
      <c r="L78" s="55"/>
      <c r="M78" s="55"/>
      <c r="N78" s="55"/>
      <c r="O78" s="55"/>
      <c r="P78" s="55"/>
      <c r="Q78" s="55"/>
      <c r="R78" s="55"/>
    </row>
    <row r="79" spans="2:21" s="9" customFormat="1" x14ac:dyDescent="0.2">
      <c r="B79" s="68"/>
      <c r="F79" s="54"/>
      <c r="J79" s="61"/>
      <c r="L79" s="55"/>
      <c r="M79" s="55"/>
      <c r="N79" s="55"/>
      <c r="O79" s="55"/>
      <c r="P79" s="55"/>
      <c r="Q79" s="55"/>
      <c r="R79" s="55"/>
    </row>
    <row r="80" spans="2:21" s="9" customFormat="1" ht="15" x14ac:dyDescent="0.25">
      <c r="F80" s="54"/>
      <c r="J80" s="61"/>
      <c r="L80" s="55"/>
      <c r="M80" s="55"/>
      <c r="N80" s="55"/>
      <c r="O80" s="55"/>
      <c r="P80" s="55"/>
      <c r="Q80" s="55"/>
      <c r="R80" s="55"/>
      <c r="U80" s="56"/>
    </row>
    <row r="81" spans="2:21" s="9" customFormat="1" ht="15" x14ac:dyDescent="0.25">
      <c r="F81" s="54"/>
      <c r="J81" s="61"/>
      <c r="L81" s="55"/>
      <c r="M81" s="55"/>
      <c r="N81" s="55"/>
      <c r="O81" s="55"/>
      <c r="P81" s="55"/>
      <c r="Q81" s="55"/>
      <c r="R81" s="55"/>
      <c r="U81" s="56"/>
    </row>
    <row r="82" spans="2:21" s="9" customFormat="1" ht="15" x14ac:dyDescent="0.25">
      <c r="F82" s="54"/>
      <c r="J82" s="61"/>
      <c r="L82" s="55"/>
      <c r="M82" s="55"/>
      <c r="N82" s="55"/>
      <c r="O82" s="55"/>
      <c r="P82" s="55"/>
      <c r="Q82" s="55"/>
      <c r="R82" s="55"/>
      <c r="U82" s="56"/>
    </row>
    <row r="83" spans="2:21" s="9" customFormat="1" ht="15" x14ac:dyDescent="0.25">
      <c r="F83" s="54"/>
      <c r="J83" s="61"/>
      <c r="L83" s="55"/>
      <c r="M83" s="55"/>
      <c r="N83" s="55"/>
      <c r="O83" s="55"/>
      <c r="P83" s="55"/>
      <c r="Q83" s="55"/>
      <c r="R83" s="55"/>
      <c r="U83" s="56"/>
    </row>
    <row r="84" spans="2:21" s="9" customFormat="1" x14ac:dyDescent="0.25">
      <c r="J84" s="63"/>
    </row>
    <row r="85" spans="2:21" s="69" customFormat="1" x14ac:dyDescent="0.25"/>
    <row r="86" spans="2:21" s="9" customFormat="1" x14ac:dyDescent="0.25"/>
    <row r="87" spans="2:21" s="9" customFormat="1" x14ac:dyDescent="0.25">
      <c r="B87" s="68"/>
    </row>
    <row r="88" spans="2:21" s="9" customFormat="1" x14ac:dyDescent="0.25"/>
    <row r="89" spans="2:21" s="9" customFormat="1" x14ac:dyDescent="0.25">
      <c r="B89" s="68"/>
      <c r="J89" s="63"/>
    </row>
    <row r="90" spans="2:21" s="9" customFormat="1" ht="15" x14ac:dyDescent="0.25">
      <c r="F90" s="54"/>
      <c r="J90" s="61"/>
      <c r="L90" s="55"/>
      <c r="M90" s="55"/>
      <c r="N90" s="55"/>
      <c r="O90" s="55"/>
      <c r="P90" s="55"/>
      <c r="Q90" s="55"/>
      <c r="R90" s="55"/>
      <c r="U90" s="56"/>
    </row>
    <row r="91" spans="2:21" s="9" customFormat="1" ht="15" x14ac:dyDescent="0.25">
      <c r="F91" s="54"/>
      <c r="J91" s="61"/>
      <c r="L91" s="55"/>
      <c r="M91" s="55"/>
      <c r="N91" s="55"/>
      <c r="O91" s="55"/>
      <c r="P91" s="55"/>
      <c r="Q91" s="55"/>
      <c r="R91" s="55"/>
      <c r="U91" s="56"/>
    </row>
    <row r="92" spans="2:21" s="9" customFormat="1" ht="15" x14ac:dyDescent="0.25">
      <c r="F92" s="54"/>
      <c r="J92" s="61"/>
      <c r="L92" s="55"/>
      <c r="M92" s="55"/>
      <c r="N92" s="55"/>
      <c r="O92" s="55"/>
      <c r="P92" s="55"/>
      <c r="Q92" s="55"/>
      <c r="R92" s="55"/>
      <c r="U92" s="56"/>
    </row>
    <row r="93" spans="2:21" s="9" customFormat="1" ht="15" x14ac:dyDescent="0.25">
      <c r="F93" s="54"/>
      <c r="J93" s="61"/>
      <c r="L93" s="55"/>
      <c r="M93" s="55"/>
      <c r="N93" s="55"/>
      <c r="O93" s="55"/>
      <c r="P93" s="55"/>
      <c r="Q93" s="55"/>
      <c r="R93" s="55"/>
      <c r="U93" s="56"/>
    </row>
    <row r="94" spans="2:21" s="9" customFormat="1" ht="15" x14ac:dyDescent="0.25">
      <c r="F94" s="54"/>
      <c r="J94" s="61"/>
      <c r="L94" s="55"/>
      <c r="M94" s="55"/>
      <c r="N94" s="55"/>
      <c r="O94" s="55"/>
      <c r="P94" s="55"/>
      <c r="Q94" s="55"/>
      <c r="R94" s="55"/>
      <c r="U94" s="56"/>
    </row>
    <row r="95" spans="2:21" s="9" customFormat="1" ht="15" x14ac:dyDescent="0.25">
      <c r="F95" s="54"/>
      <c r="J95" s="61"/>
      <c r="L95" s="55"/>
      <c r="M95" s="55"/>
      <c r="N95" s="55"/>
      <c r="O95" s="55"/>
      <c r="P95" s="55"/>
      <c r="Q95" s="55"/>
      <c r="R95" s="55"/>
      <c r="U95" s="56"/>
    </row>
    <row r="96" spans="2:21" s="9" customFormat="1" x14ac:dyDescent="0.2">
      <c r="F96" s="54"/>
      <c r="J96" s="61"/>
      <c r="L96" s="55"/>
      <c r="M96" s="55"/>
      <c r="N96" s="55"/>
      <c r="O96" s="55"/>
      <c r="P96" s="55"/>
      <c r="Q96" s="55"/>
      <c r="R96" s="55"/>
    </row>
    <row r="97" spans="2:21" s="9" customFormat="1" x14ac:dyDescent="0.2">
      <c r="B97" s="68"/>
      <c r="F97" s="54"/>
      <c r="J97" s="61"/>
      <c r="L97" s="55"/>
      <c r="M97" s="55"/>
      <c r="N97" s="55"/>
      <c r="O97" s="55"/>
      <c r="P97" s="55"/>
      <c r="Q97" s="55"/>
      <c r="R97" s="55"/>
    </row>
    <row r="98" spans="2:21" s="9" customFormat="1" ht="15" x14ac:dyDescent="0.25">
      <c r="F98" s="54"/>
      <c r="J98" s="61"/>
      <c r="L98" s="55"/>
      <c r="M98" s="55"/>
      <c r="N98" s="55"/>
      <c r="O98" s="55"/>
      <c r="P98" s="55"/>
      <c r="Q98" s="55"/>
      <c r="R98" s="55"/>
      <c r="U98" s="56"/>
    </row>
    <row r="99" spans="2:21" s="9" customFormat="1" ht="15" x14ac:dyDescent="0.25">
      <c r="F99" s="54"/>
      <c r="J99" s="61"/>
      <c r="L99" s="55"/>
      <c r="M99" s="55"/>
      <c r="N99" s="55"/>
      <c r="O99" s="55"/>
      <c r="P99" s="55"/>
      <c r="Q99" s="55"/>
      <c r="R99" s="55"/>
      <c r="U99" s="56"/>
    </row>
    <row r="100" spans="2:21" s="9" customFormat="1" ht="15" x14ac:dyDescent="0.25">
      <c r="F100" s="54"/>
      <c r="J100" s="61"/>
      <c r="L100" s="55"/>
      <c r="M100" s="55"/>
      <c r="N100" s="55"/>
      <c r="O100" s="55"/>
      <c r="P100" s="55"/>
      <c r="Q100" s="55"/>
      <c r="R100" s="55"/>
      <c r="U100" s="56"/>
    </row>
    <row r="101" spans="2:21" s="9" customFormat="1" ht="15" x14ac:dyDescent="0.25">
      <c r="F101" s="54"/>
      <c r="J101" s="61"/>
      <c r="L101" s="55"/>
      <c r="M101" s="55"/>
      <c r="N101" s="55"/>
      <c r="O101" s="55"/>
      <c r="P101" s="55"/>
      <c r="Q101" s="55"/>
      <c r="R101" s="55"/>
      <c r="U101" s="56"/>
    </row>
    <row r="102" spans="2:21" s="9" customFormat="1" ht="15" x14ac:dyDescent="0.25">
      <c r="F102" s="54"/>
      <c r="J102" s="61"/>
      <c r="L102" s="55"/>
      <c r="M102" s="55"/>
      <c r="N102" s="55"/>
      <c r="O102" s="55"/>
      <c r="P102" s="55"/>
      <c r="Q102" s="55"/>
      <c r="R102" s="55"/>
      <c r="U102" s="56"/>
    </row>
    <row r="103" spans="2:21" s="9" customFormat="1" ht="15" x14ac:dyDescent="0.25">
      <c r="F103" s="54"/>
      <c r="J103" s="61"/>
      <c r="L103" s="55"/>
      <c r="M103" s="55"/>
      <c r="N103" s="55"/>
      <c r="O103" s="55"/>
      <c r="P103" s="55"/>
      <c r="Q103" s="55"/>
      <c r="R103" s="55"/>
      <c r="U103" s="56"/>
    </row>
    <row r="104" spans="2:21" s="9" customFormat="1" x14ac:dyDescent="0.2">
      <c r="F104" s="54"/>
      <c r="J104" s="61"/>
      <c r="L104" s="55"/>
      <c r="M104" s="55"/>
      <c r="N104" s="55"/>
      <c r="O104" s="55"/>
      <c r="P104" s="55"/>
      <c r="Q104" s="55"/>
      <c r="R104" s="55"/>
    </row>
    <row r="105" spans="2:21" s="9" customFormat="1" x14ac:dyDescent="0.2">
      <c r="B105" s="68"/>
      <c r="F105" s="54"/>
      <c r="J105" s="61"/>
      <c r="L105" s="55"/>
      <c r="M105" s="55"/>
      <c r="N105" s="55"/>
      <c r="O105" s="55"/>
      <c r="P105" s="55"/>
      <c r="Q105" s="55"/>
      <c r="R105" s="55"/>
    </row>
    <row r="106" spans="2:21" s="9" customFormat="1" x14ac:dyDescent="0.2">
      <c r="F106" s="54"/>
      <c r="J106" s="61"/>
      <c r="L106" s="55"/>
      <c r="M106" s="55"/>
      <c r="N106" s="55"/>
      <c r="O106" s="55"/>
      <c r="P106" s="55"/>
      <c r="Q106" s="55"/>
      <c r="R106" s="55"/>
    </row>
    <row r="107" spans="2:21" s="9" customFormat="1" ht="15" x14ac:dyDescent="0.25">
      <c r="B107" s="68"/>
      <c r="F107" s="54"/>
      <c r="J107" s="62"/>
      <c r="L107" s="56"/>
      <c r="M107" s="56"/>
      <c r="N107" s="56"/>
      <c r="O107" s="56"/>
      <c r="P107" s="56"/>
      <c r="Q107" s="56"/>
      <c r="R107" s="56"/>
    </row>
    <row r="108" spans="2:21" s="9" customFormat="1" ht="15" x14ac:dyDescent="0.25">
      <c r="F108" s="54"/>
      <c r="J108" s="61"/>
      <c r="L108" s="55"/>
      <c r="M108" s="55"/>
      <c r="N108" s="55"/>
      <c r="O108" s="55"/>
      <c r="P108" s="55"/>
      <c r="Q108" s="55"/>
      <c r="R108" s="55"/>
      <c r="U108" s="56"/>
    </row>
    <row r="109" spans="2:21" s="9" customFormat="1" ht="15" x14ac:dyDescent="0.25">
      <c r="F109" s="54"/>
      <c r="J109" s="61"/>
      <c r="L109" s="55"/>
      <c r="M109" s="55"/>
      <c r="N109" s="55"/>
      <c r="O109" s="55"/>
      <c r="P109" s="55"/>
      <c r="Q109" s="55"/>
      <c r="R109" s="55"/>
      <c r="U109" s="56"/>
    </row>
    <row r="110" spans="2:21" s="9" customFormat="1" ht="15" x14ac:dyDescent="0.25">
      <c r="F110" s="54"/>
      <c r="J110" s="61"/>
      <c r="L110" s="55"/>
      <c r="M110" s="55"/>
      <c r="N110" s="55"/>
      <c r="O110" s="55"/>
      <c r="P110" s="55"/>
      <c r="Q110" s="55"/>
      <c r="R110" s="55"/>
      <c r="U110" s="56"/>
    </row>
    <row r="111" spans="2:21" s="9" customFormat="1" ht="15" x14ac:dyDescent="0.25">
      <c r="F111" s="54"/>
      <c r="J111" s="61"/>
      <c r="L111" s="55"/>
      <c r="M111" s="55"/>
      <c r="N111" s="55"/>
      <c r="O111" s="55"/>
      <c r="P111" s="55"/>
      <c r="Q111" s="55"/>
      <c r="R111" s="55"/>
      <c r="U111" s="56"/>
    </row>
    <row r="112" spans="2:21" s="9" customFormat="1" x14ac:dyDescent="0.2">
      <c r="F112" s="54"/>
      <c r="J112" s="61"/>
      <c r="L112" s="55"/>
      <c r="M112" s="55"/>
      <c r="N112" s="55"/>
      <c r="O112" s="55"/>
      <c r="P112" s="55"/>
      <c r="Q112" s="55"/>
      <c r="R112" s="55"/>
    </row>
    <row r="113" spans="1:21" s="9" customFormat="1" x14ac:dyDescent="0.2">
      <c r="B113" s="68"/>
      <c r="F113" s="54"/>
      <c r="J113" s="61"/>
      <c r="L113" s="55"/>
      <c r="M113" s="55"/>
      <c r="N113" s="55"/>
      <c r="O113" s="55"/>
      <c r="P113" s="55"/>
      <c r="Q113" s="55"/>
      <c r="R113" s="55"/>
    </row>
    <row r="114" spans="1:21" s="9" customFormat="1" x14ac:dyDescent="0.2">
      <c r="F114" s="54"/>
      <c r="J114" s="61"/>
      <c r="L114" s="55"/>
      <c r="M114" s="55"/>
      <c r="N114" s="55"/>
      <c r="O114" s="55"/>
      <c r="P114" s="55"/>
      <c r="Q114" s="55"/>
      <c r="R114" s="55"/>
    </row>
    <row r="115" spans="1:21" s="9" customFormat="1" x14ac:dyDescent="0.2">
      <c r="B115" s="68"/>
      <c r="F115" s="54"/>
      <c r="J115" s="61"/>
      <c r="L115" s="55"/>
      <c r="M115" s="55"/>
      <c r="N115" s="55"/>
      <c r="O115" s="55"/>
      <c r="P115" s="55"/>
      <c r="Q115" s="55"/>
      <c r="R115" s="55"/>
    </row>
    <row r="116" spans="1:21" s="9" customFormat="1" ht="15" x14ac:dyDescent="0.25">
      <c r="F116" s="54"/>
      <c r="J116" s="61"/>
      <c r="L116" s="55"/>
      <c r="M116" s="55"/>
      <c r="N116" s="55"/>
      <c r="O116" s="55"/>
      <c r="P116" s="55"/>
      <c r="Q116" s="55"/>
      <c r="R116" s="55"/>
      <c r="U116" s="56"/>
    </row>
    <row r="117" spans="1:21" s="9" customFormat="1" ht="15" x14ac:dyDescent="0.25">
      <c r="F117" s="54"/>
      <c r="J117" s="61"/>
      <c r="L117" s="55"/>
      <c r="M117" s="55"/>
      <c r="N117" s="55"/>
      <c r="O117" s="55"/>
      <c r="P117" s="55"/>
      <c r="Q117" s="55"/>
      <c r="R117" s="55"/>
      <c r="U117" s="56"/>
    </row>
    <row r="118" spans="1:21" s="9" customFormat="1" ht="15" x14ac:dyDescent="0.25">
      <c r="F118" s="54"/>
      <c r="J118" s="61"/>
      <c r="L118" s="55"/>
      <c r="M118" s="55"/>
      <c r="N118" s="55"/>
      <c r="O118" s="55"/>
      <c r="P118" s="55"/>
      <c r="Q118" s="55"/>
      <c r="R118" s="55"/>
      <c r="U118" s="56"/>
    </row>
    <row r="119" spans="1:21" s="9" customFormat="1" ht="15" x14ac:dyDescent="0.25">
      <c r="F119" s="54"/>
      <c r="J119" s="61"/>
      <c r="L119" s="55"/>
      <c r="M119" s="55"/>
      <c r="N119" s="55"/>
      <c r="O119" s="55"/>
      <c r="P119" s="55"/>
      <c r="Q119" s="55"/>
      <c r="R119" s="55"/>
      <c r="U119" s="56"/>
    </row>
    <row r="120" spans="1:21" s="9" customFormat="1" x14ac:dyDescent="0.25"/>
    <row r="121" spans="1:21" s="69" customFormat="1" x14ac:dyDescent="0.25">
      <c r="B121" s="70"/>
      <c r="L121" s="71"/>
      <c r="M121" s="71"/>
      <c r="N121" s="71"/>
      <c r="O121" s="71"/>
      <c r="P121" s="71"/>
      <c r="Q121" s="71"/>
      <c r="R121" s="71"/>
    </row>
    <row r="122" spans="1:21" s="56" customFormat="1" ht="15" x14ac:dyDescent="0.25">
      <c r="A122" s="54"/>
      <c r="B122" s="54"/>
      <c r="C122" s="54"/>
      <c r="D122" s="54"/>
      <c r="E122" s="54"/>
      <c r="F122" s="53"/>
      <c r="G122" s="54"/>
      <c r="H122" s="55"/>
      <c r="I122" s="55"/>
      <c r="J122" s="55"/>
      <c r="K122" s="55"/>
      <c r="L122" s="55"/>
      <c r="M122" s="55"/>
      <c r="N122" s="55"/>
    </row>
    <row r="123" spans="1:21" s="56" customFormat="1" ht="15" x14ac:dyDescent="0.25">
      <c r="B123" s="72"/>
      <c r="C123" s="54"/>
      <c r="D123" s="54"/>
      <c r="E123" s="54"/>
      <c r="F123" s="53"/>
      <c r="G123" s="54"/>
      <c r="H123" s="55"/>
      <c r="I123" s="55"/>
      <c r="J123" s="55"/>
      <c r="K123" s="55"/>
      <c r="L123" s="55"/>
      <c r="M123" s="55"/>
      <c r="N123" s="55"/>
    </row>
    <row r="124" spans="1:21" s="56" customFormat="1" ht="15" x14ac:dyDescent="0.25">
      <c r="B124" s="54"/>
      <c r="C124" s="54"/>
      <c r="D124" s="54"/>
      <c r="E124" s="54"/>
      <c r="F124" s="53"/>
      <c r="G124" s="54"/>
      <c r="H124" s="55"/>
      <c r="I124" s="55"/>
      <c r="J124" s="55"/>
      <c r="K124" s="55"/>
      <c r="L124" s="55"/>
      <c r="M124" s="55"/>
      <c r="N124" s="55"/>
    </row>
    <row r="125" spans="1:21" s="56" customFormat="1" ht="15" x14ac:dyDescent="0.25">
      <c r="B125" s="72"/>
      <c r="C125" s="54"/>
      <c r="D125" s="54"/>
      <c r="E125" s="54"/>
      <c r="F125" s="53"/>
      <c r="G125" s="54"/>
      <c r="H125" s="55"/>
      <c r="I125" s="55"/>
      <c r="J125" s="55"/>
      <c r="K125" s="55"/>
      <c r="L125" s="55"/>
      <c r="M125" s="55"/>
      <c r="N125" s="55"/>
    </row>
    <row r="126" spans="1:21" s="56" customFormat="1" ht="15" x14ac:dyDescent="0.25">
      <c r="B126" s="54"/>
      <c r="C126" s="9"/>
      <c r="D126" s="9"/>
      <c r="E126" s="54"/>
      <c r="F126" s="54"/>
      <c r="G126" s="9"/>
      <c r="H126" s="9"/>
      <c r="I126" s="9"/>
      <c r="J126" s="61"/>
      <c r="K126" s="54"/>
      <c r="L126" s="55"/>
      <c r="M126" s="55"/>
      <c r="N126" s="55"/>
      <c r="O126" s="55"/>
      <c r="P126" s="55"/>
      <c r="Q126" s="55"/>
      <c r="R126" s="55"/>
    </row>
    <row r="127" spans="1:21" s="56" customFormat="1" ht="15" x14ac:dyDescent="0.25">
      <c r="B127" s="54"/>
      <c r="C127" s="9"/>
      <c r="D127" s="9"/>
      <c r="E127" s="54"/>
      <c r="F127" s="54"/>
      <c r="G127" s="9"/>
      <c r="H127" s="9"/>
      <c r="I127" s="9"/>
      <c r="J127" s="61"/>
      <c r="K127" s="54"/>
      <c r="L127" s="55"/>
      <c r="M127" s="55"/>
      <c r="N127" s="55"/>
      <c r="O127" s="55"/>
      <c r="P127" s="55"/>
      <c r="Q127" s="55"/>
      <c r="R127" s="55"/>
    </row>
    <row r="128" spans="1:21" s="56" customFormat="1" ht="15" x14ac:dyDescent="0.25">
      <c r="B128" s="54"/>
      <c r="C128" s="9"/>
      <c r="D128" s="9"/>
      <c r="E128" s="54"/>
      <c r="F128" s="54"/>
      <c r="G128" s="9"/>
      <c r="H128" s="9"/>
      <c r="I128" s="9"/>
      <c r="J128" s="61"/>
      <c r="K128" s="54"/>
      <c r="L128" s="55"/>
      <c r="M128" s="55"/>
      <c r="N128" s="55"/>
      <c r="O128" s="55"/>
      <c r="P128" s="55"/>
      <c r="Q128" s="55"/>
      <c r="R128" s="55"/>
    </row>
    <row r="129" spans="2:18" s="56" customFormat="1" ht="15" x14ac:dyDescent="0.25">
      <c r="B129" s="54"/>
      <c r="C129" s="9"/>
      <c r="D129" s="9"/>
      <c r="E129" s="54"/>
      <c r="F129" s="54"/>
      <c r="G129" s="9"/>
      <c r="H129" s="9"/>
      <c r="I129" s="9"/>
      <c r="J129" s="61"/>
      <c r="K129" s="54"/>
      <c r="L129" s="55"/>
      <c r="M129" s="55"/>
      <c r="N129" s="55"/>
      <c r="O129" s="55"/>
      <c r="P129" s="55"/>
      <c r="Q129" s="55"/>
      <c r="R129" s="55"/>
    </row>
    <row r="130" spans="2:18" s="56" customFormat="1" ht="15" x14ac:dyDescent="0.25">
      <c r="B130" s="54"/>
      <c r="C130" s="9"/>
      <c r="D130" s="9"/>
      <c r="E130" s="54"/>
      <c r="F130" s="54"/>
      <c r="G130" s="9"/>
      <c r="H130" s="9"/>
      <c r="I130" s="9"/>
      <c r="J130" s="61"/>
      <c r="K130" s="54"/>
      <c r="L130" s="55"/>
      <c r="M130" s="55"/>
      <c r="N130" s="55"/>
      <c r="O130" s="55"/>
      <c r="P130" s="55"/>
      <c r="Q130" s="55"/>
      <c r="R130" s="55"/>
    </row>
    <row r="131" spans="2:18" s="56" customFormat="1" ht="15" x14ac:dyDescent="0.25">
      <c r="B131" s="54"/>
      <c r="C131" s="9"/>
      <c r="D131" s="9"/>
      <c r="E131" s="54"/>
      <c r="F131" s="54"/>
      <c r="G131" s="9"/>
      <c r="H131" s="9"/>
      <c r="I131" s="9"/>
      <c r="J131" s="61"/>
      <c r="K131" s="54"/>
      <c r="L131" s="55"/>
      <c r="M131" s="55"/>
      <c r="N131" s="55"/>
      <c r="O131" s="55"/>
      <c r="P131" s="55"/>
      <c r="Q131" s="55"/>
      <c r="R131" s="55"/>
    </row>
    <row r="132" spans="2:18" s="56" customFormat="1" ht="15" x14ac:dyDescent="0.25">
      <c r="B132" s="54"/>
      <c r="C132" s="9"/>
      <c r="D132" s="9"/>
      <c r="E132" s="54"/>
      <c r="F132" s="54"/>
      <c r="G132" s="9"/>
      <c r="H132" s="9"/>
      <c r="I132" s="9"/>
      <c r="J132" s="61"/>
      <c r="K132" s="54"/>
      <c r="L132" s="55"/>
      <c r="M132" s="55"/>
      <c r="N132" s="55"/>
      <c r="O132" s="55"/>
      <c r="P132" s="55"/>
      <c r="Q132" s="55"/>
      <c r="R132" s="55"/>
    </row>
    <row r="133" spans="2:18" s="56" customFormat="1" ht="15" x14ac:dyDescent="0.25">
      <c r="B133" s="72"/>
      <c r="C133" s="9"/>
      <c r="D133" s="9"/>
      <c r="E133" s="54"/>
      <c r="F133" s="54"/>
      <c r="G133" s="9"/>
      <c r="H133" s="9"/>
      <c r="I133" s="9"/>
      <c r="J133" s="61"/>
      <c r="K133" s="54"/>
      <c r="L133" s="55"/>
      <c r="M133" s="55"/>
      <c r="N133" s="55"/>
      <c r="O133" s="55"/>
      <c r="P133" s="55"/>
      <c r="Q133" s="55"/>
      <c r="R133" s="55"/>
    </row>
    <row r="134" spans="2:18" s="56" customFormat="1" ht="15" x14ac:dyDescent="0.25">
      <c r="B134" s="54"/>
      <c r="C134" s="9"/>
      <c r="D134" s="9"/>
      <c r="E134" s="54"/>
      <c r="F134" s="54"/>
      <c r="G134" s="9"/>
      <c r="H134" s="9"/>
      <c r="I134" s="9"/>
      <c r="J134" s="61"/>
      <c r="K134" s="54"/>
      <c r="L134" s="55"/>
      <c r="M134" s="55"/>
      <c r="N134" s="55"/>
      <c r="O134" s="55"/>
      <c r="P134" s="55"/>
      <c r="Q134" s="55"/>
      <c r="R134" s="55"/>
    </row>
    <row r="135" spans="2:18" s="56" customFormat="1" ht="15" x14ac:dyDescent="0.25">
      <c r="B135" s="54"/>
      <c r="C135" s="9"/>
      <c r="D135" s="9"/>
      <c r="E135" s="54"/>
      <c r="F135" s="54"/>
      <c r="G135" s="9"/>
      <c r="H135" s="9"/>
      <c r="I135" s="9"/>
      <c r="J135" s="61"/>
      <c r="K135" s="54"/>
      <c r="L135" s="55"/>
      <c r="M135" s="55"/>
      <c r="N135" s="55"/>
      <c r="O135" s="55"/>
      <c r="P135" s="55"/>
      <c r="Q135" s="55"/>
      <c r="R135" s="55"/>
    </row>
    <row r="136" spans="2:18" s="56" customFormat="1" ht="15" x14ac:dyDescent="0.25">
      <c r="B136" s="54"/>
      <c r="C136" s="9"/>
      <c r="D136" s="9"/>
      <c r="E136" s="54"/>
      <c r="F136" s="54"/>
      <c r="G136" s="9"/>
      <c r="H136" s="9"/>
      <c r="I136" s="9"/>
      <c r="J136" s="61"/>
      <c r="K136" s="54"/>
      <c r="L136" s="55"/>
      <c r="M136" s="55"/>
      <c r="N136" s="55"/>
      <c r="O136" s="55"/>
      <c r="P136" s="55"/>
      <c r="Q136" s="55"/>
      <c r="R136" s="55"/>
    </row>
    <row r="137" spans="2:18" s="56" customFormat="1" ht="15" x14ac:dyDescent="0.25">
      <c r="B137" s="54"/>
      <c r="C137" s="9"/>
      <c r="D137" s="9"/>
      <c r="E137" s="54"/>
      <c r="F137" s="54"/>
      <c r="G137" s="9"/>
      <c r="H137" s="9"/>
      <c r="I137" s="9"/>
      <c r="J137" s="61"/>
      <c r="K137" s="54"/>
      <c r="L137" s="55"/>
      <c r="M137" s="55"/>
      <c r="N137" s="55"/>
      <c r="O137" s="55"/>
      <c r="P137" s="55"/>
      <c r="Q137" s="55"/>
      <c r="R137" s="55"/>
    </row>
    <row r="138" spans="2:18" s="56" customFormat="1" ht="15" x14ac:dyDescent="0.25">
      <c r="B138" s="54"/>
      <c r="C138" s="9"/>
      <c r="D138" s="9"/>
      <c r="E138" s="54"/>
      <c r="F138" s="54"/>
      <c r="G138" s="9"/>
      <c r="H138" s="9"/>
      <c r="I138" s="9"/>
      <c r="J138" s="61"/>
      <c r="K138" s="54"/>
      <c r="L138" s="55"/>
      <c r="M138" s="55"/>
      <c r="N138" s="55"/>
      <c r="O138" s="55"/>
      <c r="P138" s="55"/>
      <c r="Q138" s="55"/>
      <c r="R138" s="55"/>
    </row>
    <row r="139" spans="2:18" s="56" customFormat="1" ht="15" x14ac:dyDescent="0.25">
      <c r="B139" s="54"/>
      <c r="C139" s="9"/>
      <c r="D139" s="9"/>
      <c r="E139" s="54"/>
      <c r="F139" s="54"/>
      <c r="G139" s="9"/>
      <c r="H139" s="9"/>
      <c r="I139" s="9"/>
      <c r="J139" s="61"/>
      <c r="K139" s="54"/>
      <c r="L139" s="55"/>
      <c r="M139" s="55"/>
      <c r="N139" s="55"/>
      <c r="O139" s="55"/>
      <c r="P139" s="55"/>
      <c r="Q139" s="55"/>
      <c r="R139" s="55"/>
    </row>
    <row r="140" spans="2:18" s="56" customFormat="1" ht="15" x14ac:dyDescent="0.25">
      <c r="B140" s="72"/>
      <c r="C140" s="9"/>
      <c r="D140" s="9"/>
      <c r="E140" s="54"/>
      <c r="F140" s="54"/>
      <c r="G140" s="9"/>
      <c r="H140" s="9"/>
      <c r="I140" s="9"/>
      <c r="J140" s="61"/>
      <c r="K140" s="54"/>
      <c r="L140" s="55"/>
      <c r="M140" s="55"/>
      <c r="N140" s="55"/>
      <c r="O140" s="55"/>
      <c r="P140" s="55"/>
      <c r="Q140" s="55"/>
      <c r="R140" s="55"/>
    </row>
    <row r="141" spans="2:18" s="56" customFormat="1" ht="15" x14ac:dyDescent="0.25">
      <c r="B141" s="54"/>
      <c r="C141" s="9"/>
      <c r="D141" s="9"/>
      <c r="E141" s="54"/>
      <c r="F141" s="54"/>
      <c r="G141" s="9"/>
      <c r="H141" s="9"/>
      <c r="I141" s="9"/>
      <c r="J141" s="61"/>
      <c r="K141" s="54"/>
      <c r="L141" s="55"/>
      <c r="M141" s="55"/>
      <c r="N141" s="55"/>
      <c r="O141" s="55"/>
      <c r="P141" s="55"/>
      <c r="Q141" s="55"/>
      <c r="R141" s="55"/>
    </row>
    <row r="142" spans="2:18" s="56" customFormat="1" ht="15" x14ac:dyDescent="0.25">
      <c r="B142" s="72"/>
      <c r="C142" s="9"/>
      <c r="D142" s="9"/>
      <c r="E142" s="54"/>
      <c r="F142" s="54"/>
      <c r="G142" s="9"/>
      <c r="H142" s="9"/>
      <c r="I142" s="9"/>
      <c r="J142" s="62"/>
      <c r="K142" s="54"/>
      <c r="L142" s="55"/>
      <c r="M142" s="55"/>
      <c r="N142" s="55"/>
      <c r="O142" s="55"/>
      <c r="P142" s="55"/>
      <c r="Q142" s="55"/>
      <c r="R142" s="55"/>
    </row>
    <row r="143" spans="2:18" s="56" customFormat="1" ht="15" x14ac:dyDescent="0.25">
      <c r="B143" s="54"/>
      <c r="C143" s="9"/>
      <c r="D143" s="9"/>
      <c r="E143" s="54"/>
      <c r="F143" s="54"/>
      <c r="G143" s="9"/>
      <c r="H143" s="9"/>
      <c r="I143" s="9"/>
      <c r="J143" s="61"/>
      <c r="K143" s="54"/>
      <c r="L143" s="55"/>
      <c r="M143" s="55"/>
      <c r="N143" s="55"/>
      <c r="O143" s="55"/>
      <c r="P143" s="55"/>
      <c r="Q143" s="55"/>
      <c r="R143" s="55"/>
    </row>
    <row r="144" spans="2:18" s="56" customFormat="1" ht="15" x14ac:dyDescent="0.25">
      <c r="B144" s="54"/>
      <c r="C144" s="9"/>
      <c r="D144" s="9"/>
      <c r="E144" s="54"/>
      <c r="F144" s="54"/>
      <c r="G144" s="9"/>
      <c r="H144" s="9"/>
      <c r="I144" s="9"/>
      <c r="J144" s="61"/>
      <c r="K144" s="54"/>
      <c r="L144" s="55"/>
      <c r="M144" s="55"/>
      <c r="N144" s="55"/>
      <c r="O144" s="55"/>
      <c r="P144" s="55"/>
      <c r="Q144" s="55"/>
      <c r="R144" s="55"/>
    </row>
    <row r="145" spans="1:18" s="56" customFormat="1" ht="15" x14ac:dyDescent="0.25">
      <c r="C145" s="9"/>
      <c r="D145" s="9"/>
      <c r="E145" s="54"/>
      <c r="F145" s="54"/>
      <c r="G145" s="9"/>
      <c r="H145" s="9"/>
      <c r="I145" s="9"/>
      <c r="J145" s="61"/>
      <c r="K145" s="54"/>
      <c r="L145" s="55"/>
      <c r="M145" s="55"/>
      <c r="N145" s="55"/>
      <c r="O145" s="55"/>
      <c r="P145" s="55"/>
      <c r="Q145" s="55"/>
      <c r="R145" s="55"/>
    </row>
    <row r="146" spans="1:18" s="56" customFormat="1" ht="15" x14ac:dyDescent="0.25">
      <c r="B146" s="54"/>
      <c r="C146" s="9"/>
      <c r="D146" s="9"/>
      <c r="E146" s="54"/>
      <c r="F146" s="54"/>
      <c r="G146" s="9"/>
      <c r="H146" s="9"/>
      <c r="I146" s="9"/>
      <c r="J146" s="61"/>
      <c r="K146" s="54"/>
      <c r="L146" s="55"/>
      <c r="M146" s="55"/>
      <c r="N146" s="55"/>
      <c r="O146" s="55"/>
      <c r="P146" s="55"/>
      <c r="Q146" s="55"/>
      <c r="R146" s="55"/>
    </row>
    <row r="147" spans="1:18" s="56" customFormat="1" ht="15" x14ac:dyDescent="0.25">
      <c r="B147" s="54"/>
      <c r="C147" s="9"/>
      <c r="D147" s="9"/>
      <c r="E147" s="54"/>
      <c r="F147" s="54"/>
      <c r="G147" s="9"/>
      <c r="H147" s="9"/>
      <c r="I147" s="9"/>
      <c r="J147" s="61"/>
      <c r="K147" s="54"/>
      <c r="L147" s="55"/>
      <c r="M147" s="55"/>
      <c r="N147" s="55"/>
      <c r="O147" s="55"/>
      <c r="P147" s="55"/>
      <c r="Q147" s="55"/>
      <c r="R147" s="55"/>
    </row>
    <row r="148" spans="1:18" s="56" customFormat="1" ht="15" x14ac:dyDescent="0.25">
      <c r="B148" s="72"/>
      <c r="C148" s="9"/>
      <c r="D148" s="9"/>
      <c r="E148" s="54"/>
      <c r="F148" s="54"/>
      <c r="G148" s="9"/>
      <c r="H148" s="9"/>
      <c r="I148" s="9"/>
      <c r="J148" s="61"/>
      <c r="K148" s="54"/>
      <c r="L148" s="55"/>
      <c r="M148" s="55"/>
      <c r="N148" s="55"/>
      <c r="O148" s="55"/>
      <c r="P148" s="55"/>
      <c r="Q148" s="55"/>
      <c r="R148" s="55"/>
    </row>
    <row r="149" spans="1:18" s="56" customFormat="1" ht="15" x14ac:dyDescent="0.25">
      <c r="B149" s="54"/>
      <c r="C149" s="9"/>
      <c r="D149" s="9"/>
      <c r="E149" s="54"/>
      <c r="F149" s="54"/>
      <c r="G149" s="9"/>
      <c r="H149" s="9"/>
      <c r="I149" s="9"/>
      <c r="J149" s="61"/>
      <c r="K149" s="54"/>
      <c r="L149" s="55"/>
      <c r="M149" s="55"/>
      <c r="N149" s="55"/>
      <c r="O149" s="55"/>
      <c r="P149" s="55"/>
      <c r="Q149" s="55"/>
      <c r="R149" s="55"/>
    </row>
    <row r="150" spans="1:18" s="56" customFormat="1" ht="15" x14ac:dyDescent="0.25">
      <c r="B150" s="72"/>
      <c r="C150" s="9"/>
      <c r="D150" s="9"/>
      <c r="E150" s="54"/>
      <c r="F150" s="54"/>
      <c r="G150" s="9"/>
      <c r="H150" s="9"/>
      <c r="I150" s="9"/>
      <c r="J150" s="61"/>
      <c r="K150" s="54"/>
      <c r="L150" s="55"/>
      <c r="M150" s="55"/>
      <c r="N150" s="55"/>
      <c r="O150" s="55"/>
      <c r="P150" s="55"/>
      <c r="Q150" s="55"/>
      <c r="R150" s="55"/>
    </row>
    <row r="151" spans="1:18" s="56" customFormat="1" ht="15" x14ac:dyDescent="0.25">
      <c r="B151" s="54"/>
      <c r="C151" s="9"/>
      <c r="D151" s="9"/>
      <c r="E151" s="54"/>
      <c r="F151" s="54"/>
      <c r="G151" s="9"/>
      <c r="H151" s="9"/>
      <c r="I151" s="9"/>
      <c r="J151" s="61"/>
      <c r="K151" s="54"/>
      <c r="L151" s="55"/>
      <c r="M151" s="55"/>
      <c r="N151" s="55"/>
      <c r="O151" s="55"/>
      <c r="P151" s="55"/>
      <c r="Q151" s="55"/>
      <c r="R151" s="55"/>
    </row>
    <row r="152" spans="1:18" s="56" customFormat="1" ht="15" x14ac:dyDescent="0.25">
      <c r="B152" s="54"/>
      <c r="C152" s="9"/>
      <c r="D152" s="9"/>
      <c r="E152" s="54"/>
      <c r="F152" s="54"/>
      <c r="G152" s="9"/>
      <c r="H152" s="9"/>
      <c r="I152" s="9"/>
      <c r="J152" s="61"/>
      <c r="K152" s="54"/>
      <c r="L152" s="55"/>
      <c r="M152" s="55"/>
      <c r="N152" s="55"/>
      <c r="O152" s="55"/>
      <c r="P152" s="55"/>
      <c r="Q152" s="55"/>
      <c r="R152" s="55"/>
    </row>
    <row r="153" spans="1:18" s="56" customFormat="1" ht="15" x14ac:dyDescent="0.25">
      <c r="B153" s="54"/>
      <c r="C153" s="9"/>
      <c r="D153" s="9"/>
      <c r="E153" s="54"/>
      <c r="F153" s="54"/>
      <c r="G153" s="9"/>
      <c r="H153" s="9"/>
      <c r="I153" s="9"/>
      <c r="J153" s="61"/>
      <c r="K153" s="54"/>
      <c r="L153" s="55"/>
      <c r="M153" s="55"/>
      <c r="N153" s="55"/>
      <c r="O153" s="55"/>
      <c r="P153" s="55"/>
      <c r="Q153" s="55"/>
      <c r="R153" s="55"/>
    </row>
    <row r="154" spans="1:18" s="56" customFormat="1" ht="15" x14ac:dyDescent="0.25">
      <c r="B154" s="54"/>
      <c r="C154" s="9"/>
      <c r="D154" s="9"/>
      <c r="E154" s="54"/>
      <c r="F154" s="54"/>
      <c r="G154" s="9"/>
      <c r="H154" s="9"/>
      <c r="I154" s="9"/>
      <c r="J154" s="61"/>
      <c r="K154" s="54"/>
      <c r="L154" s="55"/>
      <c r="M154" s="55"/>
      <c r="N154" s="55"/>
      <c r="O154" s="55"/>
      <c r="P154" s="55"/>
      <c r="Q154" s="55"/>
      <c r="R154" s="55"/>
    </row>
    <row r="155" spans="1:18" s="56" customFormat="1" ht="15" x14ac:dyDescent="0.25">
      <c r="C155" s="9"/>
      <c r="D155" s="9"/>
      <c r="J155" s="62"/>
    </row>
    <row r="156" spans="1:18" s="69" customFormat="1" x14ac:dyDescent="0.25"/>
    <row r="157" spans="1:18" s="56" customFormat="1" ht="15" x14ac:dyDescent="0.25">
      <c r="A157" s="54"/>
      <c r="B157" s="54"/>
      <c r="C157" s="54"/>
      <c r="D157" s="54"/>
      <c r="E157" s="54"/>
      <c r="F157" s="53"/>
      <c r="G157" s="54"/>
      <c r="H157" s="55"/>
      <c r="I157" s="55"/>
      <c r="J157" s="55"/>
      <c r="K157" s="55"/>
      <c r="L157" s="55"/>
      <c r="M157" s="55"/>
      <c r="N157" s="55"/>
    </row>
    <row r="158" spans="1:18" s="56" customFormat="1" ht="15" x14ac:dyDescent="0.25">
      <c r="B158" s="72"/>
      <c r="C158" s="54"/>
      <c r="D158" s="54"/>
      <c r="E158" s="54"/>
      <c r="F158" s="53"/>
      <c r="G158" s="54"/>
      <c r="H158" s="55"/>
      <c r="I158" s="55"/>
      <c r="J158" s="55"/>
      <c r="K158" s="55"/>
      <c r="L158" s="55"/>
      <c r="M158" s="55"/>
      <c r="N158" s="55"/>
    </row>
    <row r="159" spans="1:18" s="56" customFormat="1" ht="15" x14ac:dyDescent="0.25">
      <c r="B159" s="54"/>
      <c r="C159" s="54"/>
      <c r="D159" s="54"/>
      <c r="E159" s="54"/>
      <c r="F159" s="53"/>
      <c r="G159" s="54"/>
      <c r="H159" s="55"/>
      <c r="I159" s="55"/>
      <c r="J159" s="55"/>
      <c r="K159" s="55"/>
      <c r="L159" s="55"/>
      <c r="M159" s="55"/>
      <c r="N159" s="55"/>
    </row>
    <row r="160" spans="1:18" s="56" customFormat="1" ht="15" x14ac:dyDescent="0.25">
      <c r="B160" s="72"/>
      <c r="C160" s="54"/>
      <c r="D160" s="54"/>
      <c r="E160" s="54"/>
      <c r="F160" s="53"/>
      <c r="G160" s="54"/>
      <c r="H160" s="55"/>
      <c r="I160" s="55"/>
      <c r="J160" s="55"/>
      <c r="K160" s="55"/>
      <c r="L160" s="55"/>
      <c r="M160" s="55"/>
      <c r="N160" s="55"/>
    </row>
    <row r="161" spans="2:18" s="56" customFormat="1" ht="15" x14ac:dyDescent="0.25">
      <c r="B161" s="54"/>
      <c r="C161" s="54"/>
      <c r="D161" s="9"/>
      <c r="E161" s="54"/>
      <c r="F161" s="54"/>
      <c r="G161" s="54"/>
      <c r="H161" s="9"/>
      <c r="I161" s="9"/>
      <c r="J161" s="9"/>
      <c r="K161" s="9"/>
      <c r="L161" s="59"/>
      <c r="M161" s="59"/>
      <c r="N161" s="59"/>
      <c r="O161" s="59"/>
      <c r="P161" s="59"/>
      <c r="Q161" s="59"/>
      <c r="R161" s="59"/>
    </row>
    <row r="162" spans="2:18" s="56" customFormat="1" ht="15" x14ac:dyDescent="0.25">
      <c r="B162" s="54"/>
      <c r="C162" s="54"/>
      <c r="D162" s="9"/>
      <c r="E162" s="54"/>
      <c r="F162" s="54"/>
      <c r="G162" s="54"/>
      <c r="H162" s="9"/>
      <c r="I162" s="9"/>
      <c r="J162" s="9"/>
      <c r="K162" s="9"/>
      <c r="L162" s="59"/>
      <c r="M162" s="59"/>
      <c r="N162" s="59"/>
      <c r="O162" s="59"/>
      <c r="P162" s="59"/>
      <c r="Q162" s="59"/>
      <c r="R162" s="59"/>
    </row>
    <row r="163" spans="2:18" s="56" customFormat="1" ht="15" x14ac:dyDescent="0.25">
      <c r="B163" s="54"/>
      <c r="C163" s="54"/>
      <c r="D163" s="9"/>
      <c r="E163" s="54"/>
      <c r="F163" s="54"/>
      <c r="G163" s="54"/>
      <c r="H163" s="9"/>
      <c r="I163" s="9"/>
      <c r="J163" s="9"/>
      <c r="K163" s="9"/>
      <c r="L163" s="59"/>
      <c r="M163" s="59"/>
      <c r="N163" s="59"/>
      <c r="O163" s="59"/>
      <c r="P163" s="59"/>
      <c r="Q163" s="59"/>
      <c r="R163" s="59"/>
    </row>
    <row r="164" spans="2:18" s="56" customFormat="1" ht="15" x14ac:dyDescent="0.25">
      <c r="B164" s="72"/>
      <c r="C164" s="54"/>
      <c r="D164" s="9"/>
      <c r="E164" s="54"/>
      <c r="F164" s="54"/>
      <c r="G164" s="54"/>
      <c r="H164" s="9"/>
      <c r="I164" s="9"/>
      <c r="J164" s="9"/>
      <c r="K164" s="9"/>
      <c r="L164" s="59"/>
      <c r="M164" s="59"/>
      <c r="N164" s="59"/>
      <c r="O164" s="59"/>
      <c r="P164" s="59"/>
      <c r="Q164" s="59"/>
      <c r="R164" s="59"/>
    </row>
    <row r="165" spans="2:18" s="56" customFormat="1" ht="15" x14ac:dyDescent="0.25">
      <c r="B165" s="54"/>
      <c r="C165" s="54"/>
      <c r="D165" s="9"/>
      <c r="E165" s="54"/>
      <c r="F165" s="54"/>
      <c r="G165" s="54"/>
      <c r="H165" s="9"/>
      <c r="I165" s="9"/>
      <c r="J165" s="9"/>
      <c r="K165" s="9"/>
      <c r="L165" s="59"/>
      <c r="M165" s="59"/>
      <c r="N165" s="59"/>
      <c r="O165" s="59"/>
      <c r="P165" s="59"/>
      <c r="Q165" s="59"/>
      <c r="R165" s="59"/>
    </row>
    <row r="166" spans="2:18" s="56" customFormat="1" ht="15" x14ac:dyDescent="0.25">
      <c r="B166" s="54"/>
      <c r="C166" s="54"/>
      <c r="D166" s="9"/>
      <c r="E166" s="54"/>
      <c r="F166" s="54"/>
      <c r="G166" s="54"/>
      <c r="H166" s="9"/>
      <c r="I166" s="9"/>
      <c r="J166" s="9"/>
      <c r="K166" s="9"/>
      <c r="L166" s="59"/>
      <c r="M166" s="59"/>
      <c r="N166" s="59"/>
      <c r="O166" s="59"/>
      <c r="P166" s="59"/>
      <c r="Q166" s="59"/>
      <c r="R166" s="59"/>
    </row>
    <row r="167" spans="2:18" s="56" customFormat="1" ht="15" x14ac:dyDescent="0.25">
      <c r="B167" s="54"/>
      <c r="C167" s="54"/>
      <c r="D167" s="9"/>
      <c r="E167" s="54"/>
      <c r="F167" s="54"/>
      <c r="G167" s="54"/>
      <c r="H167" s="9"/>
      <c r="I167" s="9"/>
      <c r="J167" s="9"/>
      <c r="K167" s="9"/>
      <c r="L167" s="59"/>
      <c r="M167" s="59"/>
      <c r="N167" s="59"/>
      <c r="O167" s="59"/>
      <c r="P167" s="59"/>
      <c r="Q167" s="59"/>
      <c r="R167" s="59"/>
    </row>
    <row r="168" spans="2:18" s="56" customFormat="1" ht="15" x14ac:dyDescent="0.25">
      <c r="B168" s="72"/>
      <c r="C168" s="54"/>
      <c r="D168" s="9"/>
      <c r="E168" s="54"/>
      <c r="F168" s="54"/>
      <c r="G168" s="53"/>
      <c r="H168" s="9"/>
      <c r="I168" s="9"/>
      <c r="J168" s="9"/>
      <c r="K168" s="9"/>
      <c r="L168" s="73"/>
      <c r="M168" s="73"/>
      <c r="N168" s="73"/>
      <c r="O168" s="73"/>
      <c r="P168" s="73"/>
      <c r="Q168" s="73"/>
      <c r="R168" s="59"/>
    </row>
    <row r="169" spans="2:18" s="56" customFormat="1" ht="15" x14ac:dyDescent="0.25">
      <c r="B169" s="54"/>
      <c r="C169" s="54"/>
      <c r="D169" s="9"/>
      <c r="E169" s="54"/>
      <c r="F169" s="54"/>
      <c r="G169" s="54"/>
      <c r="H169" s="9"/>
      <c r="I169" s="9"/>
      <c r="J169" s="9"/>
      <c r="K169" s="9"/>
      <c r="L169" s="59"/>
      <c r="M169" s="59"/>
      <c r="N169" s="59"/>
      <c r="O169" s="59"/>
      <c r="P169" s="59"/>
      <c r="Q169" s="59"/>
      <c r="R169" s="59"/>
    </row>
    <row r="170" spans="2:18" s="56" customFormat="1" ht="15" x14ac:dyDescent="0.25">
      <c r="B170" s="54"/>
      <c r="C170" s="54"/>
      <c r="D170" s="9"/>
      <c r="E170" s="54"/>
      <c r="F170" s="54"/>
      <c r="G170" s="54"/>
      <c r="H170" s="9"/>
      <c r="I170" s="9"/>
      <c r="J170" s="9"/>
      <c r="K170" s="9"/>
      <c r="L170" s="59"/>
      <c r="M170" s="59"/>
      <c r="N170" s="59"/>
      <c r="O170" s="59"/>
      <c r="P170" s="59"/>
      <c r="Q170" s="59"/>
      <c r="R170" s="59"/>
    </row>
    <row r="171" spans="2:18" s="56" customFormat="1" ht="15" x14ac:dyDescent="0.25">
      <c r="B171" s="54"/>
      <c r="C171" s="54"/>
      <c r="D171" s="9"/>
      <c r="E171" s="54"/>
      <c r="F171" s="54"/>
      <c r="G171" s="54"/>
      <c r="H171" s="9"/>
      <c r="I171" s="9"/>
      <c r="J171" s="9"/>
      <c r="K171" s="9"/>
      <c r="L171" s="59"/>
      <c r="M171" s="59"/>
      <c r="N171" s="59"/>
      <c r="O171" s="59"/>
      <c r="P171" s="59"/>
      <c r="Q171" s="59"/>
      <c r="R171" s="59"/>
    </row>
    <row r="172" spans="2:18" s="56" customFormat="1" ht="15" x14ac:dyDescent="0.25">
      <c r="B172" s="54"/>
      <c r="C172" s="54"/>
      <c r="D172" s="9"/>
      <c r="E172" s="54"/>
      <c r="F172" s="54"/>
      <c r="G172" s="54"/>
      <c r="H172" s="9"/>
      <c r="I172" s="9"/>
      <c r="J172" s="9"/>
      <c r="K172" s="9"/>
      <c r="L172" s="59"/>
      <c r="M172" s="59"/>
      <c r="N172" s="59"/>
      <c r="O172" s="59"/>
      <c r="P172" s="59"/>
      <c r="Q172" s="59"/>
      <c r="R172" s="59"/>
    </row>
    <row r="173" spans="2:18" s="56" customFormat="1" ht="15" x14ac:dyDescent="0.25">
      <c r="D173" s="9"/>
      <c r="H173" s="9"/>
      <c r="I173" s="9"/>
      <c r="J173" s="9"/>
      <c r="K173" s="9"/>
      <c r="L173" s="58"/>
      <c r="M173" s="58"/>
      <c r="N173" s="58"/>
      <c r="O173" s="58"/>
      <c r="P173" s="58"/>
      <c r="Q173" s="58"/>
      <c r="R173" s="58"/>
    </row>
    <row r="174" spans="2:18" s="56" customFormat="1" ht="15" x14ac:dyDescent="0.25">
      <c r="B174" s="74"/>
      <c r="D174" s="9"/>
      <c r="H174" s="9"/>
      <c r="I174" s="9"/>
      <c r="J174" s="9"/>
      <c r="K174" s="9"/>
      <c r="L174" s="58"/>
      <c r="M174" s="58"/>
      <c r="N174" s="58"/>
      <c r="O174" s="58"/>
      <c r="P174" s="58"/>
      <c r="Q174" s="58"/>
      <c r="R174" s="58"/>
    </row>
    <row r="175" spans="2:18" s="56" customFormat="1" ht="15" x14ac:dyDescent="0.25">
      <c r="D175" s="9"/>
      <c r="H175" s="9"/>
      <c r="I175" s="9"/>
      <c r="J175" s="9"/>
      <c r="K175" s="9"/>
      <c r="L175" s="58"/>
      <c r="M175" s="58"/>
      <c r="N175" s="58"/>
      <c r="O175" s="58"/>
      <c r="P175" s="58"/>
      <c r="Q175" s="58"/>
      <c r="R175" s="58"/>
    </row>
    <row r="176" spans="2:18" s="56" customFormat="1" ht="15" x14ac:dyDescent="0.25">
      <c r="D176" s="9"/>
      <c r="F176" s="54"/>
      <c r="H176" s="9"/>
      <c r="I176" s="9"/>
      <c r="J176" s="9"/>
      <c r="K176" s="9"/>
      <c r="L176" s="58"/>
      <c r="M176" s="58"/>
      <c r="N176" s="58"/>
      <c r="O176" s="58"/>
      <c r="P176" s="58"/>
      <c r="Q176" s="59"/>
      <c r="R176" s="58"/>
    </row>
    <row r="177" spans="4:18" s="56" customFormat="1" ht="15" x14ac:dyDescent="0.25">
      <c r="D177" s="9"/>
      <c r="F177" s="54"/>
      <c r="H177" s="9"/>
      <c r="I177" s="9"/>
      <c r="J177" s="9"/>
      <c r="K177" s="9"/>
      <c r="L177" s="58"/>
      <c r="M177" s="58"/>
      <c r="N177" s="58"/>
      <c r="O177" s="59"/>
      <c r="P177" s="58"/>
      <c r="Q177" s="58"/>
      <c r="R177" s="58"/>
    </row>
    <row r="178" spans="4:18" s="56" customFormat="1" ht="15" x14ac:dyDescent="0.25"/>
    <row r="179" spans="4:18" s="56" customFormat="1" ht="15" x14ac:dyDescent="0.25"/>
  </sheetData>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CC"/>
  </sheetPr>
  <dimension ref="A2:Z175"/>
  <sheetViews>
    <sheetView showGridLines="0" zoomScale="85" zoomScaleNormal="85" workbookViewId="0">
      <pane xSplit="6" ySplit="10" topLeftCell="G11" activePane="bottomRight" state="frozen"/>
      <selection activeCell="Q51" sqref="Q51"/>
      <selection pane="topRight" activeCell="Q51" sqref="Q51"/>
      <selection pane="bottomLeft" activeCell="Q51" sqref="Q51"/>
      <selection pane="bottomRight" activeCell="G11" sqref="G11"/>
    </sheetView>
  </sheetViews>
  <sheetFormatPr defaultRowHeight="12.75" x14ac:dyDescent="0.25"/>
  <cols>
    <col min="1" max="1" width="4" style="2" customWidth="1"/>
    <col min="2" max="2" width="41.42578125"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8" width="12.5703125" style="2" customWidth="1"/>
    <col min="19" max="20" width="2.7109375" style="2" customWidth="1"/>
    <col min="21" max="21" width="17.140625" style="2" customWidth="1"/>
    <col min="22" max="22" width="2.7109375" style="2" customWidth="1"/>
    <col min="23" max="23" width="13.7109375" style="2" customWidth="1"/>
    <col min="24" max="24" width="2.7109375" style="2" customWidth="1"/>
    <col min="25" max="39" width="13.7109375" style="2" customWidth="1"/>
    <col min="40" max="16384" width="9.140625" style="2"/>
  </cols>
  <sheetData>
    <row r="2" spans="2:23" s="25" customFormat="1" ht="18" x14ac:dyDescent="0.25">
      <c r="B2" s="25" t="s">
        <v>228</v>
      </c>
    </row>
    <row r="4" spans="2:23" ht="15" x14ac:dyDescent="0.25">
      <c r="B4" s="1" t="s">
        <v>30</v>
      </c>
      <c r="C4" s="1"/>
      <c r="D4" s="1"/>
      <c r="L4" s="36"/>
      <c r="M4" s="123"/>
    </row>
    <row r="5" spans="2:23" x14ac:dyDescent="0.25">
      <c r="B5" s="2" t="s">
        <v>229</v>
      </c>
    </row>
    <row r="6" spans="2:23" x14ac:dyDescent="0.25">
      <c r="B6" s="2" t="s">
        <v>230</v>
      </c>
    </row>
    <row r="7" spans="2:23" x14ac:dyDescent="0.25">
      <c r="B7" s="2" t="s">
        <v>167</v>
      </c>
    </row>
    <row r="9" spans="2:23" s="8" customFormat="1" x14ac:dyDescent="0.25">
      <c r="B9" s="8" t="s">
        <v>46</v>
      </c>
      <c r="F9" s="8" t="s">
        <v>28</v>
      </c>
      <c r="H9" s="8" t="s">
        <v>29</v>
      </c>
      <c r="J9" s="8" t="s">
        <v>50</v>
      </c>
      <c r="L9" s="8" t="s">
        <v>151</v>
      </c>
      <c r="M9" s="8" t="s">
        <v>65</v>
      </c>
      <c r="N9" s="8" t="s">
        <v>66</v>
      </c>
      <c r="O9" s="8" t="s">
        <v>67</v>
      </c>
      <c r="P9" s="8" t="s">
        <v>68</v>
      </c>
      <c r="Q9" s="8" t="s">
        <v>69</v>
      </c>
      <c r="R9" s="8" t="s">
        <v>70</v>
      </c>
      <c r="U9" s="8" t="s">
        <v>47</v>
      </c>
      <c r="W9" s="8" t="s">
        <v>48</v>
      </c>
    </row>
    <row r="12" spans="2:23" s="8" customFormat="1" x14ac:dyDescent="0.25">
      <c r="B12" s="8" t="s">
        <v>104</v>
      </c>
    </row>
    <row r="14" spans="2:23" x14ac:dyDescent="0.25">
      <c r="B14" s="37" t="s">
        <v>73</v>
      </c>
    </row>
    <row r="16" spans="2:23" x14ac:dyDescent="0.25">
      <c r="B16" s="37" t="s">
        <v>74</v>
      </c>
    </row>
    <row r="17" spans="2:21" x14ac:dyDescent="0.2">
      <c r="B17" s="2" t="s">
        <v>75</v>
      </c>
      <c r="F17" s="38" t="s">
        <v>76</v>
      </c>
      <c r="J17" s="61"/>
      <c r="L17" s="129"/>
      <c r="M17" s="129"/>
      <c r="N17" s="129"/>
      <c r="O17" s="129"/>
      <c r="P17" s="129"/>
      <c r="Q17" s="129"/>
      <c r="R17" s="129"/>
      <c r="U17" s="2" t="s">
        <v>158</v>
      </c>
    </row>
    <row r="18" spans="2:21" ht="15" x14ac:dyDescent="0.25">
      <c r="B18" s="2" t="s">
        <v>77</v>
      </c>
      <c r="F18" s="38" t="s">
        <v>76</v>
      </c>
      <c r="J18" s="61"/>
      <c r="L18" s="129"/>
      <c r="M18" s="129"/>
      <c r="N18" s="129"/>
      <c r="O18" s="129"/>
      <c r="P18" s="129"/>
      <c r="Q18" s="129"/>
      <c r="R18" s="129"/>
      <c r="U18"/>
    </row>
    <row r="19" spans="2:21" ht="15" x14ac:dyDescent="0.25">
      <c r="B19" s="2" t="s">
        <v>78</v>
      </c>
      <c r="F19" s="38" t="s">
        <v>76</v>
      </c>
      <c r="J19" s="61"/>
      <c r="L19" s="129"/>
      <c r="M19" s="129"/>
      <c r="N19" s="129"/>
      <c r="O19" s="129"/>
      <c r="P19" s="129"/>
      <c r="Q19" s="129"/>
      <c r="R19" s="129"/>
      <c r="U19"/>
    </row>
    <row r="20" spans="2:21" ht="15" x14ac:dyDescent="0.25">
      <c r="B20" s="2" t="s">
        <v>79</v>
      </c>
      <c r="F20" s="38" t="s">
        <v>76</v>
      </c>
      <c r="J20" s="61"/>
      <c r="L20" s="129"/>
      <c r="M20" s="129"/>
      <c r="N20" s="129"/>
      <c r="O20" s="129"/>
      <c r="P20" s="129"/>
      <c r="Q20" s="129"/>
      <c r="R20" s="129"/>
      <c r="U20"/>
    </row>
    <row r="21" spans="2:21" ht="15" x14ac:dyDescent="0.25">
      <c r="B21" s="2" t="s">
        <v>80</v>
      </c>
      <c r="F21" s="38" t="s">
        <v>76</v>
      </c>
      <c r="J21" s="61"/>
      <c r="L21" s="129"/>
      <c r="M21" s="129"/>
      <c r="N21" s="129"/>
      <c r="O21" s="129"/>
      <c r="P21" s="129"/>
      <c r="Q21" s="129"/>
      <c r="R21" s="129"/>
      <c r="U21"/>
    </row>
    <row r="22" spans="2:21" ht="15" x14ac:dyDescent="0.25">
      <c r="B22" s="2" t="s">
        <v>81</v>
      </c>
      <c r="F22" s="38" t="s">
        <v>76</v>
      </c>
      <c r="J22" s="61"/>
      <c r="L22" s="129"/>
      <c r="M22" s="129"/>
      <c r="N22" s="129"/>
      <c r="O22" s="129"/>
      <c r="P22" s="129"/>
      <c r="Q22" s="129"/>
      <c r="R22" s="129"/>
      <c r="U22"/>
    </row>
    <row r="23" spans="2:21" x14ac:dyDescent="0.2">
      <c r="F23" s="38"/>
      <c r="J23" s="61"/>
      <c r="L23" s="39"/>
      <c r="M23" s="39"/>
      <c r="N23" s="39"/>
      <c r="O23" s="39"/>
      <c r="P23" s="39"/>
      <c r="Q23" s="39"/>
      <c r="R23" s="39"/>
    </row>
    <row r="24" spans="2:21" x14ac:dyDescent="0.2">
      <c r="B24" s="37" t="s">
        <v>82</v>
      </c>
      <c r="F24" s="38"/>
      <c r="J24" s="61"/>
      <c r="L24" s="39"/>
      <c r="M24" s="39"/>
      <c r="N24" s="39"/>
      <c r="O24" s="39"/>
      <c r="P24" s="39"/>
      <c r="Q24" s="39"/>
      <c r="R24" s="39"/>
    </row>
    <row r="25" spans="2:21" ht="15" x14ac:dyDescent="0.25">
      <c r="B25" s="2" t="s">
        <v>83</v>
      </c>
      <c r="F25" s="38" t="s">
        <v>76</v>
      </c>
      <c r="J25" s="61"/>
      <c r="L25" s="129"/>
      <c r="M25" s="129"/>
      <c r="N25" s="129"/>
      <c r="O25" s="129"/>
      <c r="P25" s="129"/>
      <c r="Q25" s="129"/>
      <c r="R25" s="129"/>
      <c r="U25"/>
    </row>
    <row r="26" spans="2:21" ht="15" x14ac:dyDescent="0.25">
      <c r="B26" s="2" t="s">
        <v>84</v>
      </c>
      <c r="F26" s="38" t="s">
        <v>76</v>
      </c>
      <c r="J26" s="61"/>
      <c r="L26" s="129"/>
      <c r="M26" s="129"/>
      <c r="N26" s="129"/>
      <c r="O26" s="129"/>
      <c r="P26" s="129"/>
      <c r="Q26" s="129"/>
      <c r="R26" s="129"/>
      <c r="U26"/>
    </row>
    <row r="27" spans="2:21" ht="15" x14ac:dyDescent="0.25">
      <c r="B27" s="2" t="s">
        <v>85</v>
      </c>
      <c r="F27" s="38" t="s">
        <v>76</v>
      </c>
      <c r="J27" s="61"/>
      <c r="L27" s="129"/>
      <c r="M27" s="129"/>
      <c r="N27" s="129"/>
      <c r="O27" s="129"/>
      <c r="P27" s="129"/>
      <c r="Q27" s="129"/>
      <c r="R27" s="129"/>
      <c r="U27"/>
    </row>
    <row r="28" spans="2:21" ht="15" x14ac:dyDescent="0.25">
      <c r="B28" s="2" t="s">
        <v>86</v>
      </c>
      <c r="F28" s="38" t="s">
        <v>76</v>
      </c>
      <c r="J28" s="61"/>
      <c r="L28" s="129"/>
      <c r="M28" s="129"/>
      <c r="N28" s="129"/>
      <c r="O28" s="129"/>
      <c r="P28" s="129"/>
      <c r="Q28" s="129"/>
      <c r="R28" s="129"/>
      <c r="U28"/>
    </row>
    <row r="29" spans="2:21" ht="15" x14ac:dyDescent="0.25">
      <c r="B29" s="2" t="s">
        <v>87</v>
      </c>
      <c r="F29" s="38" t="s">
        <v>76</v>
      </c>
      <c r="J29" s="61"/>
      <c r="L29" s="129"/>
      <c r="M29" s="129"/>
      <c r="N29" s="129"/>
      <c r="O29" s="129"/>
      <c r="P29" s="129"/>
      <c r="Q29" s="129"/>
      <c r="R29" s="129"/>
      <c r="U29"/>
    </row>
    <row r="30" spans="2:21" x14ac:dyDescent="0.2">
      <c r="F30" s="38"/>
      <c r="J30" s="61"/>
      <c r="L30" s="39"/>
      <c r="M30" s="39"/>
      <c r="N30" s="39"/>
      <c r="O30" s="39"/>
      <c r="P30" s="39"/>
      <c r="Q30" s="39"/>
      <c r="R30" s="39"/>
    </row>
    <row r="31" spans="2:21" x14ac:dyDescent="0.2">
      <c r="B31" s="37" t="s">
        <v>88</v>
      </c>
      <c r="F31" s="38"/>
      <c r="J31" s="61"/>
      <c r="L31" s="39"/>
      <c r="M31" s="39"/>
      <c r="N31" s="39"/>
      <c r="O31" s="39"/>
      <c r="P31" s="39"/>
      <c r="Q31" s="39"/>
      <c r="R31" s="39"/>
    </row>
    <row r="32" spans="2:21" x14ac:dyDescent="0.2">
      <c r="F32" s="38"/>
      <c r="J32" s="61"/>
      <c r="L32" s="39"/>
      <c r="M32" s="39"/>
      <c r="N32" s="39"/>
      <c r="O32" s="39"/>
      <c r="P32" s="39"/>
      <c r="Q32" s="39"/>
      <c r="R32" s="39"/>
    </row>
    <row r="33" spans="2:21" ht="15" x14ac:dyDescent="0.25">
      <c r="B33" s="37" t="s">
        <v>89</v>
      </c>
      <c r="F33" s="38"/>
      <c r="J33" s="62"/>
      <c r="L33"/>
      <c r="M33" s="123"/>
      <c r="N33"/>
      <c r="O33"/>
      <c r="P33"/>
      <c r="Q33"/>
      <c r="R33"/>
    </row>
    <row r="34" spans="2:21" ht="15" x14ac:dyDescent="0.25">
      <c r="B34" s="2" t="s">
        <v>90</v>
      </c>
      <c r="F34" s="38" t="s">
        <v>76</v>
      </c>
      <c r="J34" s="61"/>
      <c r="L34" s="129">
        <v>1</v>
      </c>
      <c r="M34" s="129"/>
      <c r="N34" s="129"/>
      <c r="O34" s="129"/>
      <c r="P34" s="129"/>
      <c r="Q34" s="129"/>
      <c r="R34" s="129"/>
      <c r="U34"/>
    </row>
    <row r="35" spans="2:21" ht="15" x14ac:dyDescent="0.25">
      <c r="B35" s="2" t="s">
        <v>91</v>
      </c>
      <c r="F35" s="38" t="s">
        <v>76</v>
      </c>
      <c r="J35" s="61"/>
      <c r="L35" s="129"/>
      <c r="M35" s="129"/>
      <c r="N35" s="129"/>
      <c r="O35" s="129"/>
      <c r="P35" s="129"/>
      <c r="Q35" s="129"/>
      <c r="R35" s="129"/>
      <c r="U35"/>
    </row>
    <row r="36" spans="2:21" ht="15" x14ac:dyDescent="0.25">
      <c r="F36" s="38"/>
      <c r="J36" s="61"/>
      <c r="L36" s="39"/>
      <c r="M36" s="39"/>
      <c r="N36" s="39"/>
      <c r="O36" s="39"/>
      <c r="P36" s="39"/>
      <c r="Q36" s="39"/>
      <c r="R36" s="39"/>
      <c r="U36"/>
    </row>
    <row r="37" spans="2:21" ht="15" x14ac:dyDescent="0.25">
      <c r="B37" s="2" t="s">
        <v>92</v>
      </c>
      <c r="F37" s="38" t="s">
        <v>76</v>
      </c>
      <c r="J37" s="61"/>
      <c r="L37" s="129"/>
      <c r="M37" s="129"/>
      <c r="N37" s="109">
        <f>10+0.904057971014493</f>
        <v>10.904057971014494</v>
      </c>
      <c r="O37" s="129">
        <v>6</v>
      </c>
      <c r="P37" s="129"/>
      <c r="Q37" s="129">
        <v>3</v>
      </c>
      <c r="R37" s="129"/>
      <c r="U37"/>
    </row>
    <row r="38" spans="2:21" x14ac:dyDescent="0.2">
      <c r="F38" s="38"/>
      <c r="J38" s="61"/>
      <c r="L38" s="39"/>
      <c r="M38" s="39"/>
      <c r="N38" s="39"/>
      <c r="O38" s="39"/>
      <c r="P38" s="39"/>
      <c r="Q38" s="39"/>
      <c r="R38" s="39"/>
    </row>
    <row r="39" spans="2:21" x14ac:dyDescent="0.2">
      <c r="B39" s="37" t="s">
        <v>93</v>
      </c>
      <c r="F39" s="38"/>
      <c r="J39" s="61"/>
      <c r="L39" s="39"/>
      <c r="M39" s="39"/>
      <c r="N39" s="39"/>
      <c r="O39" s="39"/>
      <c r="P39" s="39"/>
      <c r="Q39" s="39"/>
      <c r="R39" s="39"/>
    </row>
    <row r="40" spans="2:21" x14ac:dyDescent="0.2">
      <c r="F40" s="38"/>
      <c r="J40" s="61"/>
      <c r="L40" s="39"/>
      <c r="M40" s="39"/>
      <c r="N40" s="39"/>
      <c r="O40" s="39"/>
      <c r="P40" s="39"/>
      <c r="Q40" s="39"/>
      <c r="R40" s="39"/>
    </row>
    <row r="41" spans="2:21" x14ac:dyDescent="0.2">
      <c r="B41" s="37" t="s">
        <v>89</v>
      </c>
      <c r="F41" s="38"/>
      <c r="J41" s="61"/>
      <c r="L41" s="39"/>
      <c r="M41" s="39"/>
      <c r="N41" s="39"/>
      <c r="O41" s="39"/>
      <c r="P41" s="39"/>
      <c r="Q41" s="39"/>
      <c r="R41" s="39"/>
    </row>
    <row r="42" spans="2:21" ht="15" x14ac:dyDescent="0.25">
      <c r="B42" s="2" t="s">
        <v>90</v>
      </c>
      <c r="F42" s="38" t="s">
        <v>76</v>
      </c>
      <c r="J42" s="61"/>
      <c r="L42" s="129">
        <v>0</v>
      </c>
      <c r="M42" s="129"/>
      <c r="N42" s="129"/>
      <c r="O42" s="129"/>
      <c r="P42" s="129"/>
      <c r="Q42" s="129"/>
      <c r="R42" s="129"/>
      <c r="U42"/>
    </row>
    <row r="43" spans="2:21" ht="15" x14ac:dyDescent="0.25">
      <c r="B43" s="2" t="s">
        <v>91</v>
      </c>
      <c r="F43" s="38" t="s">
        <v>76</v>
      </c>
      <c r="J43" s="61"/>
      <c r="L43" s="129"/>
      <c r="M43" s="129"/>
      <c r="N43" s="129"/>
      <c r="O43" s="129"/>
      <c r="P43" s="129"/>
      <c r="Q43" s="129"/>
      <c r="R43" s="129"/>
      <c r="U43"/>
    </row>
    <row r="44" spans="2:21" ht="15" x14ac:dyDescent="0.25">
      <c r="F44" s="38"/>
      <c r="J44" s="61"/>
      <c r="L44" s="39"/>
      <c r="M44" s="39"/>
      <c r="N44" s="39"/>
      <c r="O44" s="39"/>
      <c r="P44" s="39"/>
      <c r="Q44" s="39"/>
      <c r="R44" s="39"/>
      <c r="U44"/>
    </row>
    <row r="45" spans="2:21" ht="15" x14ac:dyDescent="0.25">
      <c r="B45" s="2" t="s">
        <v>94</v>
      </c>
      <c r="F45" s="38" t="s">
        <v>76</v>
      </c>
      <c r="J45" s="61"/>
      <c r="L45" s="129"/>
      <c r="M45" s="129"/>
      <c r="N45" s="109">
        <f>9842+369.570652173913</f>
        <v>10211.570652173912</v>
      </c>
      <c r="O45" s="129">
        <v>2145</v>
      </c>
      <c r="P45" s="129"/>
      <c r="Q45" s="129">
        <v>523.99894695274452</v>
      </c>
      <c r="R45" s="129"/>
      <c r="U45"/>
    </row>
    <row r="47" spans="2:21" s="8" customFormat="1" x14ac:dyDescent="0.25">
      <c r="B47" s="8" t="s">
        <v>105</v>
      </c>
    </row>
    <row r="49" spans="2:21" x14ac:dyDescent="0.25">
      <c r="B49" s="37" t="s">
        <v>73</v>
      </c>
    </row>
    <row r="51" spans="2:21" x14ac:dyDescent="0.25">
      <c r="B51" s="37" t="s">
        <v>74</v>
      </c>
    </row>
    <row r="52" spans="2:21" x14ac:dyDescent="0.2">
      <c r="B52" s="2" t="s">
        <v>75</v>
      </c>
      <c r="F52" s="38" t="s">
        <v>76</v>
      </c>
      <c r="J52" s="61"/>
      <c r="L52" s="129"/>
      <c r="M52" s="129"/>
      <c r="N52" s="129"/>
      <c r="O52" s="129"/>
      <c r="P52" s="129"/>
      <c r="Q52" s="129"/>
      <c r="R52" s="129"/>
      <c r="U52" s="2" t="s">
        <v>158</v>
      </c>
    </row>
    <row r="53" spans="2:21" ht="15" x14ac:dyDescent="0.25">
      <c r="B53" s="2" t="s">
        <v>77</v>
      </c>
      <c r="F53" s="38" t="s">
        <v>76</v>
      </c>
      <c r="J53" s="61"/>
      <c r="L53" s="129"/>
      <c r="M53" s="129"/>
      <c r="N53" s="129"/>
      <c r="O53" s="129"/>
      <c r="P53" s="129"/>
      <c r="Q53" s="129"/>
      <c r="R53" s="129"/>
      <c r="U53"/>
    </row>
    <row r="54" spans="2:21" ht="15" x14ac:dyDescent="0.25">
      <c r="B54" s="2" t="s">
        <v>78</v>
      </c>
      <c r="F54" s="38" t="s">
        <v>76</v>
      </c>
      <c r="J54" s="61"/>
      <c r="L54" s="129"/>
      <c r="M54" s="129"/>
      <c r="N54" s="129"/>
      <c r="O54" s="129"/>
      <c r="P54" s="129"/>
      <c r="Q54" s="129"/>
      <c r="R54" s="129"/>
      <c r="U54"/>
    </row>
    <row r="55" spans="2:21" ht="15" x14ac:dyDescent="0.25">
      <c r="B55" s="2" t="s">
        <v>79</v>
      </c>
      <c r="F55" s="38" t="s">
        <v>76</v>
      </c>
      <c r="J55" s="61"/>
      <c r="L55" s="129"/>
      <c r="M55" s="129"/>
      <c r="N55" s="129"/>
      <c r="O55" s="129"/>
      <c r="P55" s="129"/>
      <c r="Q55" s="129"/>
      <c r="R55" s="129"/>
      <c r="U55"/>
    </row>
    <row r="56" spans="2:21" ht="15" x14ac:dyDescent="0.25">
      <c r="B56" s="2" t="s">
        <v>80</v>
      </c>
      <c r="F56" s="38" t="s">
        <v>76</v>
      </c>
      <c r="J56" s="61"/>
      <c r="L56" s="129"/>
      <c r="M56" s="129"/>
      <c r="N56" s="129"/>
      <c r="O56" s="129"/>
      <c r="P56" s="129"/>
      <c r="Q56" s="129"/>
      <c r="R56" s="129"/>
      <c r="U56"/>
    </row>
    <row r="57" spans="2:21" ht="15" x14ac:dyDescent="0.25">
      <c r="B57" s="2" t="s">
        <v>81</v>
      </c>
      <c r="F57" s="38" t="s">
        <v>76</v>
      </c>
      <c r="J57" s="61"/>
      <c r="L57" s="129"/>
      <c r="M57" s="129"/>
      <c r="N57" s="129"/>
      <c r="O57" s="129"/>
      <c r="P57" s="129"/>
      <c r="Q57" s="129"/>
      <c r="R57" s="129"/>
      <c r="U57"/>
    </row>
    <row r="58" spans="2:21" x14ac:dyDescent="0.2">
      <c r="F58" s="38"/>
      <c r="J58" s="61"/>
      <c r="L58" s="39"/>
      <c r="M58" s="39"/>
      <c r="N58" s="39"/>
      <c r="O58" s="39"/>
      <c r="P58" s="39"/>
      <c r="Q58" s="39"/>
      <c r="R58" s="39"/>
    </row>
    <row r="59" spans="2:21" x14ac:dyDescent="0.2">
      <c r="B59" s="37" t="s">
        <v>82</v>
      </c>
      <c r="F59" s="38"/>
      <c r="J59" s="61"/>
      <c r="L59" s="39"/>
      <c r="M59" s="39"/>
      <c r="N59" s="39"/>
      <c r="O59" s="39"/>
      <c r="P59" s="39"/>
      <c r="Q59" s="39"/>
      <c r="R59" s="39"/>
    </row>
    <row r="60" spans="2:21" ht="15" x14ac:dyDescent="0.25">
      <c r="B60" s="2" t="s">
        <v>83</v>
      </c>
      <c r="F60" s="38" t="s">
        <v>76</v>
      </c>
      <c r="J60" s="61"/>
      <c r="L60" s="129"/>
      <c r="M60" s="129"/>
      <c r="N60" s="129"/>
      <c r="O60" s="129"/>
      <c r="P60" s="129"/>
      <c r="Q60" s="129"/>
      <c r="R60" s="129"/>
      <c r="U60"/>
    </row>
    <row r="61" spans="2:21" ht="15" x14ac:dyDescent="0.25">
      <c r="B61" s="2" t="s">
        <v>84</v>
      </c>
      <c r="F61" s="38" t="s">
        <v>76</v>
      </c>
      <c r="J61" s="61"/>
      <c r="L61" s="129"/>
      <c r="M61" s="129"/>
      <c r="N61" s="129"/>
      <c r="O61" s="129"/>
      <c r="P61" s="129"/>
      <c r="Q61" s="129"/>
      <c r="R61" s="129"/>
      <c r="U61"/>
    </row>
    <row r="62" spans="2:21" ht="15" x14ac:dyDescent="0.25">
      <c r="B62" s="2" t="s">
        <v>85</v>
      </c>
      <c r="F62" s="38" t="s">
        <v>76</v>
      </c>
      <c r="J62" s="61"/>
      <c r="L62" s="129"/>
      <c r="M62" s="129"/>
      <c r="N62" s="129"/>
      <c r="O62" s="129"/>
      <c r="P62" s="129"/>
      <c r="Q62" s="129"/>
      <c r="R62" s="129"/>
      <c r="U62"/>
    </row>
    <row r="63" spans="2:21" ht="15" x14ac:dyDescent="0.25">
      <c r="B63" s="2" t="s">
        <v>86</v>
      </c>
      <c r="F63" s="38" t="s">
        <v>76</v>
      </c>
      <c r="J63" s="61"/>
      <c r="L63" s="129"/>
      <c r="M63" s="129"/>
      <c r="N63" s="129"/>
      <c r="O63" s="129"/>
      <c r="P63" s="129"/>
      <c r="Q63" s="129"/>
      <c r="R63" s="129"/>
      <c r="U63"/>
    </row>
    <row r="64" spans="2:21" ht="15" x14ac:dyDescent="0.25">
      <c r="B64" s="2" t="s">
        <v>87</v>
      </c>
      <c r="F64" s="38" t="s">
        <v>76</v>
      </c>
      <c r="J64" s="61"/>
      <c r="L64" s="129"/>
      <c r="M64" s="129"/>
      <c r="N64" s="129"/>
      <c r="O64" s="129"/>
      <c r="P64" s="129"/>
      <c r="Q64" s="129"/>
      <c r="R64" s="129"/>
      <c r="U64"/>
    </row>
    <row r="65" spans="2:21" x14ac:dyDescent="0.2">
      <c r="F65" s="38"/>
      <c r="J65" s="61"/>
      <c r="L65" s="39"/>
      <c r="M65" s="39"/>
      <c r="N65" s="39"/>
      <c r="O65" s="39"/>
      <c r="P65" s="39"/>
      <c r="Q65" s="39"/>
      <c r="R65" s="39"/>
    </row>
    <row r="66" spans="2:21" x14ac:dyDescent="0.2">
      <c r="B66" s="37" t="s">
        <v>88</v>
      </c>
      <c r="F66" s="38"/>
      <c r="J66" s="61"/>
      <c r="L66" s="39"/>
      <c r="M66" s="39"/>
      <c r="N66" s="39"/>
      <c r="O66" s="39"/>
      <c r="P66" s="39"/>
      <c r="Q66" s="39"/>
      <c r="R66" s="39"/>
    </row>
    <row r="67" spans="2:21" x14ac:dyDescent="0.2">
      <c r="F67" s="38"/>
      <c r="J67" s="61"/>
      <c r="L67" s="39"/>
      <c r="M67" s="39"/>
      <c r="N67" s="39"/>
      <c r="O67" s="39"/>
      <c r="P67" s="39"/>
      <c r="Q67" s="39"/>
      <c r="R67" s="39"/>
    </row>
    <row r="68" spans="2:21" ht="15" x14ac:dyDescent="0.25">
      <c r="B68" s="37" t="s">
        <v>89</v>
      </c>
      <c r="F68" s="38"/>
      <c r="J68" s="62"/>
      <c r="L68"/>
      <c r="M68" s="123"/>
      <c r="N68"/>
      <c r="O68"/>
      <c r="P68"/>
      <c r="Q68"/>
      <c r="R68"/>
    </row>
    <row r="69" spans="2:21" ht="15" x14ac:dyDescent="0.25">
      <c r="B69" s="2" t="s">
        <v>90</v>
      </c>
      <c r="F69" s="38" t="s">
        <v>76</v>
      </c>
      <c r="J69" s="61"/>
      <c r="L69" s="129">
        <v>1</v>
      </c>
      <c r="M69" s="129"/>
      <c r="N69" s="129"/>
      <c r="O69" s="129"/>
      <c r="P69" s="129">
        <v>0.42</v>
      </c>
      <c r="Q69" s="129"/>
      <c r="R69" s="129"/>
      <c r="U69"/>
    </row>
    <row r="70" spans="2:21" ht="15" x14ac:dyDescent="0.25">
      <c r="B70" s="2" t="s">
        <v>91</v>
      </c>
      <c r="F70" s="38" t="s">
        <v>76</v>
      </c>
      <c r="J70" s="61"/>
      <c r="L70" s="129"/>
      <c r="M70" s="129"/>
      <c r="N70" s="129"/>
      <c r="O70" s="129"/>
      <c r="P70" s="129"/>
      <c r="Q70" s="129"/>
      <c r="R70" s="129"/>
      <c r="U70"/>
    </row>
    <row r="71" spans="2:21" ht="15" x14ac:dyDescent="0.25">
      <c r="F71" s="38"/>
      <c r="J71" s="61"/>
      <c r="L71" s="39"/>
      <c r="M71" s="39"/>
      <c r="N71" s="39"/>
      <c r="O71" s="39"/>
      <c r="P71" s="39"/>
      <c r="Q71" s="39"/>
      <c r="R71" s="39"/>
      <c r="U71"/>
    </row>
    <row r="72" spans="2:21" ht="15" x14ac:dyDescent="0.25">
      <c r="B72" s="2" t="s">
        <v>92</v>
      </c>
      <c r="F72" s="38" t="s">
        <v>76</v>
      </c>
      <c r="J72" s="61"/>
      <c r="L72" s="129"/>
      <c r="M72" s="129"/>
      <c r="N72" s="109">
        <f>10+1.99983849764</f>
        <v>11.999838497640001</v>
      </c>
      <c r="O72" s="129">
        <v>7</v>
      </c>
      <c r="P72" s="129"/>
      <c r="Q72" s="129">
        <v>3</v>
      </c>
      <c r="R72" s="129"/>
      <c r="U72"/>
    </row>
    <row r="73" spans="2:21" x14ac:dyDescent="0.2">
      <c r="F73" s="38"/>
      <c r="J73" s="61"/>
      <c r="L73" s="39"/>
      <c r="M73" s="39"/>
      <c r="N73" s="39"/>
      <c r="O73" s="39"/>
      <c r="P73" s="39"/>
      <c r="Q73" s="39"/>
      <c r="R73" s="39"/>
    </row>
    <row r="74" spans="2:21" x14ac:dyDescent="0.2">
      <c r="B74" s="37" t="s">
        <v>93</v>
      </c>
      <c r="F74" s="38"/>
      <c r="J74" s="61"/>
      <c r="L74" s="39"/>
      <c r="M74" s="39"/>
      <c r="N74" s="39"/>
      <c r="O74" s="39"/>
      <c r="P74" s="39"/>
      <c r="Q74" s="39"/>
      <c r="R74" s="39"/>
    </row>
    <row r="75" spans="2:21" x14ac:dyDescent="0.2">
      <c r="F75" s="38"/>
      <c r="J75" s="61"/>
      <c r="L75" s="39"/>
      <c r="M75" s="39"/>
      <c r="N75" s="39"/>
      <c r="O75" s="39"/>
      <c r="P75" s="39"/>
      <c r="Q75" s="39"/>
      <c r="R75" s="39"/>
    </row>
    <row r="76" spans="2:21" x14ac:dyDescent="0.2">
      <c r="B76" s="37" t="s">
        <v>89</v>
      </c>
      <c r="F76" s="38"/>
      <c r="J76" s="61"/>
      <c r="L76" s="39"/>
      <c r="M76" s="39"/>
      <c r="N76" s="39"/>
      <c r="O76" s="39"/>
      <c r="P76" s="39"/>
      <c r="Q76" s="39"/>
      <c r="R76" s="39"/>
    </row>
    <row r="77" spans="2:21" ht="15" x14ac:dyDescent="0.25">
      <c r="B77" s="2" t="s">
        <v>90</v>
      </c>
      <c r="F77" s="38" t="s">
        <v>76</v>
      </c>
      <c r="J77" s="61"/>
      <c r="L77" s="129">
        <v>0</v>
      </c>
      <c r="M77" s="129"/>
      <c r="N77" s="129"/>
      <c r="O77" s="129"/>
      <c r="P77" s="129">
        <v>1008</v>
      </c>
      <c r="Q77" s="129"/>
      <c r="R77" s="129"/>
      <c r="U77"/>
    </row>
    <row r="78" spans="2:21" ht="15" x14ac:dyDescent="0.25">
      <c r="B78" s="2" t="s">
        <v>91</v>
      </c>
      <c r="F78" s="38" t="s">
        <v>76</v>
      </c>
      <c r="J78" s="61"/>
      <c r="L78" s="129"/>
      <c r="M78" s="129"/>
      <c r="N78" s="129"/>
      <c r="O78" s="129"/>
      <c r="P78" s="129"/>
      <c r="Q78" s="129"/>
      <c r="R78" s="129"/>
      <c r="U78"/>
    </row>
    <row r="79" spans="2:21" ht="15" x14ac:dyDescent="0.25">
      <c r="F79" s="38"/>
      <c r="J79" s="61"/>
      <c r="L79" s="39"/>
      <c r="M79" s="39"/>
      <c r="N79" s="39"/>
      <c r="O79" s="39"/>
      <c r="P79" s="39"/>
      <c r="Q79" s="39"/>
      <c r="R79" s="39"/>
      <c r="U79"/>
    </row>
    <row r="80" spans="2:21" ht="15" x14ac:dyDescent="0.25">
      <c r="B80" s="2" t="s">
        <v>94</v>
      </c>
      <c r="F80" s="38" t="s">
        <v>76</v>
      </c>
      <c r="J80" s="61"/>
      <c r="L80" s="129"/>
      <c r="M80" s="129"/>
      <c r="N80" s="109">
        <f>10338+1049.91521126124</f>
        <v>11387.915211261239</v>
      </c>
      <c r="O80" s="129">
        <v>2675</v>
      </c>
      <c r="P80" s="129"/>
      <c r="Q80" s="129">
        <v>524</v>
      </c>
      <c r="R80" s="129"/>
      <c r="U80"/>
    </row>
    <row r="81" spans="2:21" x14ac:dyDescent="0.25">
      <c r="J81" s="63"/>
    </row>
    <row r="82" spans="2:21" s="8" customFormat="1" x14ac:dyDescent="0.25">
      <c r="B82" s="8" t="s">
        <v>106</v>
      </c>
    </row>
    <row r="84" spans="2:21" x14ac:dyDescent="0.25">
      <c r="B84" s="37" t="s">
        <v>73</v>
      </c>
    </row>
    <row r="86" spans="2:21" x14ac:dyDescent="0.25">
      <c r="B86" s="37" t="s">
        <v>74</v>
      </c>
      <c r="J86" s="63"/>
    </row>
    <row r="87" spans="2:21" x14ac:dyDescent="0.2">
      <c r="B87" s="2" t="s">
        <v>75</v>
      </c>
      <c r="F87" s="38" t="s">
        <v>76</v>
      </c>
      <c r="J87" s="61"/>
      <c r="L87" s="129"/>
      <c r="M87" s="129"/>
      <c r="N87" s="129"/>
      <c r="O87" s="129"/>
      <c r="P87" s="129"/>
      <c r="Q87" s="129"/>
      <c r="R87" s="129"/>
      <c r="U87" s="2" t="s">
        <v>158</v>
      </c>
    </row>
    <row r="88" spans="2:21" ht="15" x14ac:dyDescent="0.25">
      <c r="B88" s="2" t="s">
        <v>77</v>
      </c>
      <c r="F88" s="38" t="s">
        <v>76</v>
      </c>
      <c r="J88" s="61"/>
      <c r="L88" s="129"/>
      <c r="M88" s="129"/>
      <c r="N88" s="129"/>
      <c r="O88" s="129"/>
      <c r="P88" s="129"/>
      <c r="Q88" s="129"/>
      <c r="R88" s="129"/>
      <c r="U88"/>
    </row>
    <row r="89" spans="2:21" ht="15" x14ac:dyDescent="0.25">
      <c r="B89" s="2" t="s">
        <v>78</v>
      </c>
      <c r="F89" s="38" t="s">
        <v>76</v>
      </c>
      <c r="J89" s="61"/>
      <c r="L89" s="129"/>
      <c r="M89" s="129"/>
      <c r="N89" s="129"/>
      <c r="O89" s="129"/>
      <c r="P89" s="129"/>
      <c r="Q89" s="129"/>
      <c r="R89" s="129"/>
      <c r="U89"/>
    </row>
    <row r="90" spans="2:21" ht="15" x14ac:dyDescent="0.25">
      <c r="B90" s="2" t="s">
        <v>79</v>
      </c>
      <c r="F90" s="38" t="s">
        <v>76</v>
      </c>
      <c r="J90" s="61"/>
      <c r="L90" s="129"/>
      <c r="M90" s="129"/>
      <c r="N90" s="129"/>
      <c r="O90" s="129"/>
      <c r="P90" s="129"/>
      <c r="Q90" s="129"/>
      <c r="R90" s="129"/>
      <c r="U90"/>
    </row>
    <row r="91" spans="2:21" ht="15" x14ac:dyDescent="0.25">
      <c r="B91" s="2" t="s">
        <v>80</v>
      </c>
      <c r="F91" s="38" t="s">
        <v>76</v>
      </c>
      <c r="J91" s="61"/>
      <c r="L91" s="129"/>
      <c r="M91" s="129"/>
      <c r="N91" s="129"/>
      <c r="O91" s="129"/>
      <c r="P91" s="129"/>
      <c r="Q91" s="129"/>
      <c r="R91" s="129"/>
      <c r="U91"/>
    </row>
    <row r="92" spans="2:21" ht="15" x14ac:dyDescent="0.25">
      <c r="B92" s="2" t="s">
        <v>81</v>
      </c>
      <c r="F92" s="38" t="s">
        <v>76</v>
      </c>
      <c r="J92" s="61"/>
      <c r="L92" s="129"/>
      <c r="M92" s="129"/>
      <c r="N92" s="129"/>
      <c r="O92" s="129"/>
      <c r="P92" s="129"/>
      <c r="Q92" s="129">
        <v>0.31506849315068491</v>
      </c>
      <c r="R92" s="129"/>
      <c r="U92"/>
    </row>
    <row r="93" spans="2:21" x14ac:dyDescent="0.2">
      <c r="F93" s="38"/>
      <c r="J93" s="61"/>
      <c r="L93" s="39"/>
      <c r="M93" s="39"/>
      <c r="N93" s="39"/>
      <c r="O93" s="39"/>
      <c r="P93" s="39"/>
      <c r="Q93" s="39"/>
      <c r="R93" s="39"/>
    </row>
    <row r="94" spans="2:21" x14ac:dyDescent="0.2">
      <c r="B94" s="37" t="s">
        <v>82</v>
      </c>
      <c r="F94" s="38"/>
      <c r="J94" s="61"/>
      <c r="L94" s="39"/>
      <c r="M94" s="39"/>
      <c r="N94" s="39"/>
      <c r="O94" s="39"/>
      <c r="P94" s="39"/>
      <c r="Q94" s="39"/>
      <c r="R94" s="39"/>
    </row>
    <row r="95" spans="2:21" ht="15" x14ac:dyDescent="0.25">
      <c r="B95" s="2" t="s">
        <v>83</v>
      </c>
      <c r="F95" s="38" t="s">
        <v>76</v>
      </c>
      <c r="J95" s="61"/>
      <c r="L95" s="129"/>
      <c r="M95" s="129"/>
      <c r="N95" s="129"/>
      <c r="O95" s="129"/>
      <c r="P95" s="129"/>
      <c r="Q95" s="129"/>
      <c r="R95" s="129"/>
      <c r="U95"/>
    </row>
    <row r="96" spans="2:21" ht="15" x14ac:dyDescent="0.25">
      <c r="B96" s="2" t="s">
        <v>84</v>
      </c>
      <c r="F96" s="38" t="s">
        <v>76</v>
      </c>
      <c r="J96" s="61"/>
      <c r="L96" s="129"/>
      <c r="M96" s="129"/>
      <c r="N96" s="129"/>
      <c r="O96" s="129">
        <v>1</v>
      </c>
      <c r="P96" s="129"/>
      <c r="Q96" s="129"/>
      <c r="R96" s="129"/>
      <c r="U96"/>
    </row>
    <row r="97" spans="2:21" ht="15" x14ac:dyDescent="0.25">
      <c r="B97" s="2" t="s">
        <v>85</v>
      </c>
      <c r="F97" s="38" t="s">
        <v>76</v>
      </c>
      <c r="J97" s="61"/>
      <c r="L97" s="129"/>
      <c r="M97" s="129"/>
      <c r="N97" s="129"/>
      <c r="O97" s="129"/>
      <c r="P97" s="129"/>
      <c r="Q97" s="129"/>
      <c r="R97" s="129"/>
      <c r="U97"/>
    </row>
    <row r="98" spans="2:21" ht="15" x14ac:dyDescent="0.25">
      <c r="B98" s="2" t="s">
        <v>86</v>
      </c>
      <c r="F98" s="38" t="s">
        <v>76</v>
      </c>
      <c r="J98" s="61"/>
      <c r="L98" s="129"/>
      <c r="M98" s="129"/>
      <c r="N98" s="129"/>
      <c r="O98" s="129"/>
      <c r="P98" s="129"/>
      <c r="Q98" s="129"/>
      <c r="R98" s="129"/>
      <c r="U98"/>
    </row>
    <row r="99" spans="2:21" ht="15" x14ac:dyDescent="0.25">
      <c r="B99" s="2" t="s">
        <v>87</v>
      </c>
      <c r="F99" s="38" t="s">
        <v>76</v>
      </c>
      <c r="J99" s="61"/>
      <c r="L99" s="129"/>
      <c r="M99" s="129"/>
      <c r="N99" s="129"/>
      <c r="O99" s="129"/>
      <c r="P99" s="129"/>
      <c r="Q99" s="129"/>
      <c r="R99" s="129"/>
      <c r="U99"/>
    </row>
    <row r="100" spans="2:21" x14ac:dyDescent="0.2">
      <c r="F100" s="38"/>
      <c r="J100" s="61"/>
      <c r="L100" s="39"/>
      <c r="M100" s="39"/>
      <c r="N100" s="39"/>
      <c r="O100" s="39"/>
      <c r="P100" s="39"/>
      <c r="Q100" s="39"/>
      <c r="R100" s="39"/>
    </row>
    <row r="101" spans="2:21" x14ac:dyDescent="0.2">
      <c r="B101" s="37" t="s">
        <v>88</v>
      </c>
      <c r="F101" s="38"/>
      <c r="J101" s="61"/>
      <c r="L101" s="39"/>
      <c r="M101" s="39"/>
      <c r="N101" s="39"/>
      <c r="O101" s="39"/>
      <c r="P101" s="39"/>
      <c r="Q101" s="39"/>
      <c r="R101" s="39"/>
    </row>
    <row r="102" spans="2:21" x14ac:dyDescent="0.2">
      <c r="F102" s="38"/>
      <c r="J102" s="61"/>
      <c r="L102" s="39"/>
      <c r="M102" s="39"/>
      <c r="N102" s="39"/>
      <c r="O102" s="39"/>
      <c r="P102" s="39"/>
      <c r="Q102" s="39"/>
      <c r="R102" s="39"/>
    </row>
    <row r="103" spans="2:21" ht="15" x14ac:dyDescent="0.25">
      <c r="B103" s="37" t="s">
        <v>89</v>
      </c>
      <c r="F103" s="38"/>
      <c r="J103" s="62"/>
      <c r="L103"/>
      <c r="M103" s="123"/>
      <c r="N103"/>
      <c r="O103"/>
      <c r="P103"/>
      <c r="Q103"/>
      <c r="R103"/>
    </row>
    <row r="104" spans="2:21" ht="15" x14ac:dyDescent="0.25">
      <c r="B104" s="2" t="s">
        <v>90</v>
      </c>
      <c r="F104" s="38" t="s">
        <v>76</v>
      </c>
      <c r="J104" s="61"/>
      <c r="L104" s="129">
        <v>1</v>
      </c>
      <c r="M104" s="129"/>
      <c r="N104" s="129"/>
      <c r="O104" s="129"/>
      <c r="P104" s="129">
        <v>1</v>
      </c>
      <c r="Q104" s="129"/>
      <c r="R104" s="129"/>
      <c r="U104"/>
    </row>
    <row r="105" spans="2:21" ht="15" x14ac:dyDescent="0.25">
      <c r="B105" s="2" t="s">
        <v>91</v>
      </c>
      <c r="F105" s="38" t="s">
        <v>76</v>
      </c>
      <c r="J105" s="61"/>
      <c r="L105" s="129"/>
      <c r="M105" s="129"/>
      <c r="N105" s="129"/>
      <c r="O105" s="129"/>
      <c r="P105" s="129"/>
      <c r="Q105" s="129"/>
      <c r="R105" s="129"/>
      <c r="U105"/>
    </row>
    <row r="106" spans="2:21" ht="15" x14ac:dyDescent="0.25">
      <c r="F106" s="38"/>
      <c r="J106" s="61"/>
      <c r="L106" s="39"/>
      <c r="M106" s="39"/>
      <c r="N106" s="39"/>
      <c r="O106" s="39"/>
      <c r="P106" s="39"/>
      <c r="Q106" s="39"/>
      <c r="R106" s="39"/>
      <c r="U106"/>
    </row>
    <row r="107" spans="2:21" ht="15" x14ac:dyDescent="0.25">
      <c r="B107" s="2" t="s">
        <v>92</v>
      </c>
      <c r="F107" s="38" t="s">
        <v>76</v>
      </c>
      <c r="J107" s="61"/>
      <c r="L107" s="129"/>
      <c r="M107" s="129"/>
      <c r="N107" s="109">
        <f>11+1.99993334690031</f>
        <v>12.99993334690031</v>
      </c>
      <c r="O107" s="129">
        <v>6.75</v>
      </c>
      <c r="P107" s="129"/>
      <c r="Q107" s="129">
        <v>3</v>
      </c>
      <c r="R107" s="129"/>
      <c r="U107"/>
    </row>
    <row r="108" spans="2:21" x14ac:dyDescent="0.2">
      <c r="F108" s="38"/>
      <c r="J108" s="61"/>
      <c r="L108" s="39"/>
      <c r="M108" s="39"/>
      <c r="N108" s="39"/>
      <c r="O108" s="39"/>
      <c r="P108" s="39"/>
      <c r="Q108" s="39"/>
      <c r="R108" s="39"/>
    </row>
    <row r="109" spans="2:21" x14ac:dyDescent="0.2">
      <c r="B109" s="37" t="s">
        <v>93</v>
      </c>
      <c r="F109" s="38"/>
      <c r="J109" s="61"/>
      <c r="L109" s="39"/>
      <c r="M109" s="39"/>
      <c r="N109" s="39"/>
      <c r="O109" s="39"/>
      <c r="P109" s="39"/>
      <c r="Q109" s="39"/>
      <c r="R109" s="39"/>
    </row>
    <row r="110" spans="2:21" x14ac:dyDescent="0.2">
      <c r="F110" s="38"/>
      <c r="J110" s="61"/>
      <c r="L110" s="39"/>
      <c r="M110" s="39"/>
      <c r="N110" s="39"/>
      <c r="O110" s="39"/>
      <c r="P110" s="39"/>
      <c r="Q110" s="39"/>
      <c r="R110" s="39"/>
    </row>
    <row r="111" spans="2:21" x14ac:dyDescent="0.2">
      <c r="B111" s="37" t="s">
        <v>89</v>
      </c>
      <c r="F111" s="38"/>
      <c r="J111" s="61"/>
      <c r="L111" s="39"/>
      <c r="M111" s="39"/>
      <c r="N111" s="39"/>
      <c r="O111" s="39"/>
      <c r="P111" s="39"/>
      <c r="Q111" s="39"/>
      <c r="R111" s="39"/>
    </row>
    <row r="112" spans="2:21" ht="15" x14ac:dyDescent="0.25">
      <c r="B112" s="2" t="s">
        <v>90</v>
      </c>
      <c r="F112" s="38" t="s">
        <v>76</v>
      </c>
      <c r="J112" s="61"/>
      <c r="L112" s="129">
        <v>0</v>
      </c>
      <c r="M112" s="129"/>
      <c r="N112" s="129"/>
      <c r="O112" s="129"/>
      <c r="P112" s="129">
        <v>1135</v>
      </c>
      <c r="Q112" s="129"/>
      <c r="R112" s="129"/>
      <c r="U112"/>
    </row>
    <row r="113" spans="1:21" ht="15" x14ac:dyDescent="0.25">
      <c r="B113" s="2" t="s">
        <v>91</v>
      </c>
      <c r="F113" s="38" t="s">
        <v>76</v>
      </c>
      <c r="J113" s="61"/>
      <c r="L113" s="129"/>
      <c r="M113" s="129"/>
      <c r="N113" s="129"/>
      <c r="O113" s="129"/>
      <c r="P113" s="129"/>
      <c r="Q113" s="129"/>
      <c r="R113" s="129"/>
      <c r="U113"/>
    </row>
    <row r="114" spans="1:21" ht="15" x14ac:dyDescent="0.25">
      <c r="F114" s="38"/>
      <c r="J114" s="61"/>
      <c r="L114" s="39"/>
      <c r="M114" s="39"/>
      <c r="N114" s="39"/>
      <c r="O114" s="39"/>
      <c r="P114" s="39"/>
      <c r="Q114" s="39"/>
      <c r="R114" s="39"/>
      <c r="U114"/>
    </row>
    <row r="115" spans="1:21" ht="15" x14ac:dyDescent="0.25">
      <c r="B115" s="2" t="s">
        <v>94</v>
      </c>
      <c r="F115" s="38" t="s">
        <v>76</v>
      </c>
      <c r="J115" s="61"/>
      <c r="L115" s="129"/>
      <c r="M115" s="129"/>
      <c r="N115" s="109">
        <f>9368+1049.96500712266</f>
        <v>10417.965007122661</v>
      </c>
      <c r="O115" s="129">
        <v>3125</v>
      </c>
      <c r="P115" s="129"/>
      <c r="Q115" s="129">
        <v>524</v>
      </c>
      <c r="R115" s="129"/>
      <c r="U115"/>
    </row>
    <row r="117" spans="1:21" s="8" customFormat="1" x14ac:dyDescent="0.25">
      <c r="B117" s="45" t="s">
        <v>95</v>
      </c>
      <c r="L117" s="44"/>
      <c r="M117" s="44"/>
      <c r="N117" s="44"/>
      <c r="O117" s="44"/>
      <c r="P117" s="44"/>
      <c r="Q117" s="44"/>
      <c r="R117" s="44"/>
    </row>
    <row r="118" spans="1:21" customFormat="1" ht="15" x14ac:dyDescent="0.25">
      <c r="A118" s="38"/>
      <c r="B118" s="38"/>
      <c r="C118" s="38"/>
      <c r="D118" s="38"/>
      <c r="E118" s="38"/>
      <c r="F118" s="40"/>
      <c r="G118" s="38"/>
      <c r="H118" s="39"/>
      <c r="I118" s="39"/>
      <c r="J118" s="39"/>
      <c r="K118" s="39"/>
      <c r="L118" s="39"/>
      <c r="M118" s="39"/>
      <c r="N118" s="39"/>
    </row>
    <row r="119" spans="1:21" customFormat="1" ht="15" x14ac:dyDescent="0.25">
      <c r="B119" s="37" t="s">
        <v>73</v>
      </c>
      <c r="C119" s="38"/>
      <c r="D119" s="38"/>
      <c r="E119" s="38"/>
      <c r="F119" s="40"/>
      <c r="G119" s="38"/>
      <c r="H119" s="39"/>
      <c r="I119" s="39"/>
      <c r="J119" s="39"/>
      <c r="K119" s="39"/>
      <c r="L119" s="39"/>
      <c r="M119" s="39"/>
      <c r="N119" s="39"/>
    </row>
    <row r="120" spans="1:21" customFormat="1" ht="15" x14ac:dyDescent="0.25">
      <c r="B120" s="38"/>
      <c r="C120" s="38"/>
      <c r="D120" s="38"/>
      <c r="E120" s="38"/>
      <c r="F120" s="40"/>
      <c r="G120" s="38"/>
      <c r="H120" s="39"/>
      <c r="I120" s="39"/>
      <c r="J120" s="39"/>
      <c r="K120" s="39"/>
      <c r="L120" s="39"/>
      <c r="M120" s="39"/>
      <c r="N120" s="39"/>
    </row>
    <row r="121" spans="1:21" customFormat="1" ht="15" x14ac:dyDescent="0.25">
      <c r="B121" s="37" t="s">
        <v>74</v>
      </c>
      <c r="C121" s="38"/>
      <c r="D121" s="38"/>
      <c r="E121" s="38"/>
      <c r="F121" s="40"/>
      <c r="G121" s="38"/>
      <c r="H121" s="39"/>
      <c r="I121" s="39"/>
      <c r="J121" s="39"/>
      <c r="K121" s="39"/>
      <c r="L121" s="39"/>
      <c r="M121" s="39"/>
      <c r="N121" s="39"/>
    </row>
    <row r="122" spans="1:21" customFormat="1" ht="15" x14ac:dyDescent="0.25">
      <c r="B122" s="38" t="s">
        <v>75</v>
      </c>
      <c r="C122" s="2"/>
      <c r="D122" s="2"/>
      <c r="E122" s="38"/>
      <c r="F122" s="38" t="s">
        <v>76</v>
      </c>
      <c r="G122" s="2"/>
      <c r="H122" s="2"/>
      <c r="I122" s="2"/>
      <c r="J122" s="61"/>
      <c r="K122" s="38"/>
      <c r="L122" s="52">
        <f t="shared" ref="L122:R122" si="0">SUM(L17,L52,L87)/3</f>
        <v>0</v>
      </c>
      <c r="M122" s="52">
        <f t="shared" ref="M122" si="1">SUM(M17,M52,M87)/3</f>
        <v>0</v>
      </c>
      <c r="N122" s="52">
        <f t="shared" si="0"/>
        <v>0</v>
      </c>
      <c r="O122" s="52">
        <f t="shared" si="0"/>
        <v>0</v>
      </c>
      <c r="P122" s="52">
        <f t="shared" si="0"/>
        <v>0</v>
      </c>
      <c r="Q122" s="52">
        <f t="shared" si="0"/>
        <v>0</v>
      </c>
      <c r="R122" s="52">
        <f t="shared" si="0"/>
        <v>0</v>
      </c>
    </row>
    <row r="123" spans="1:21" customFormat="1" ht="15" x14ac:dyDescent="0.25">
      <c r="B123" s="38" t="s">
        <v>77</v>
      </c>
      <c r="C123" s="2"/>
      <c r="D123" s="2"/>
      <c r="E123" s="38"/>
      <c r="F123" s="38" t="s">
        <v>76</v>
      </c>
      <c r="G123" s="2"/>
      <c r="H123" s="2"/>
      <c r="I123" s="2"/>
      <c r="J123" s="61"/>
      <c r="K123" s="38"/>
      <c r="L123" s="52">
        <f t="shared" ref="L123:R123" si="2">SUM(L18,L53,L88)/3</f>
        <v>0</v>
      </c>
      <c r="M123" s="52">
        <f t="shared" ref="M123" si="3">SUM(M18,M53,M88)/3</f>
        <v>0</v>
      </c>
      <c r="N123" s="52">
        <f t="shared" si="2"/>
        <v>0</v>
      </c>
      <c r="O123" s="52">
        <f t="shared" si="2"/>
        <v>0</v>
      </c>
      <c r="P123" s="52">
        <f t="shared" si="2"/>
        <v>0</v>
      </c>
      <c r="Q123" s="52">
        <f t="shared" si="2"/>
        <v>0</v>
      </c>
      <c r="R123" s="52">
        <f t="shared" si="2"/>
        <v>0</v>
      </c>
    </row>
    <row r="124" spans="1:21" customFormat="1" ht="15" x14ac:dyDescent="0.25">
      <c r="B124" s="38" t="s">
        <v>78</v>
      </c>
      <c r="C124" s="2"/>
      <c r="D124" s="2"/>
      <c r="E124" s="38"/>
      <c r="F124" s="38" t="s">
        <v>76</v>
      </c>
      <c r="G124" s="2"/>
      <c r="H124" s="2"/>
      <c r="I124" s="2"/>
      <c r="J124" s="61"/>
      <c r="K124" s="38"/>
      <c r="L124" s="52">
        <f t="shared" ref="L124:R124" si="4">SUM(L19,L54,L89)/3</f>
        <v>0</v>
      </c>
      <c r="M124" s="52">
        <f t="shared" ref="M124" si="5">SUM(M19,M54,M89)/3</f>
        <v>0</v>
      </c>
      <c r="N124" s="52">
        <f t="shared" si="4"/>
        <v>0</v>
      </c>
      <c r="O124" s="52">
        <f t="shared" si="4"/>
        <v>0</v>
      </c>
      <c r="P124" s="52">
        <f t="shared" si="4"/>
        <v>0</v>
      </c>
      <c r="Q124" s="52">
        <f t="shared" si="4"/>
        <v>0</v>
      </c>
      <c r="R124" s="52">
        <f t="shared" si="4"/>
        <v>0</v>
      </c>
    </row>
    <row r="125" spans="1:21" customFormat="1" ht="15" x14ac:dyDescent="0.25">
      <c r="B125" s="38" t="s">
        <v>79</v>
      </c>
      <c r="C125" s="2"/>
      <c r="D125" s="2"/>
      <c r="E125" s="38"/>
      <c r="F125" s="38" t="s">
        <v>76</v>
      </c>
      <c r="G125" s="2"/>
      <c r="H125" s="2"/>
      <c r="I125" s="2"/>
      <c r="J125" s="61"/>
      <c r="K125" s="38"/>
      <c r="L125" s="52">
        <f t="shared" ref="L125:R125" si="6">SUM(L20,L55,L90)/3</f>
        <v>0</v>
      </c>
      <c r="M125" s="52">
        <f t="shared" ref="M125" si="7">SUM(M20,M55,M90)/3</f>
        <v>0</v>
      </c>
      <c r="N125" s="52">
        <f t="shared" si="6"/>
        <v>0</v>
      </c>
      <c r="O125" s="52">
        <f t="shared" si="6"/>
        <v>0</v>
      </c>
      <c r="P125" s="52">
        <f t="shared" si="6"/>
        <v>0</v>
      </c>
      <c r="Q125" s="52">
        <f t="shared" si="6"/>
        <v>0</v>
      </c>
      <c r="R125" s="52">
        <f t="shared" si="6"/>
        <v>0</v>
      </c>
    </row>
    <row r="126" spans="1:21" customFormat="1" ht="15" x14ac:dyDescent="0.25">
      <c r="B126" s="38" t="s">
        <v>80</v>
      </c>
      <c r="C126" s="2"/>
      <c r="D126" s="2"/>
      <c r="E126" s="38"/>
      <c r="F126" s="38" t="s">
        <v>76</v>
      </c>
      <c r="G126" s="2"/>
      <c r="H126" s="2"/>
      <c r="I126" s="2"/>
      <c r="J126" s="61"/>
      <c r="K126" s="38"/>
      <c r="L126" s="52">
        <f t="shared" ref="L126:R126" si="8">SUM(L21,L56,L91)/3</f>
        <v>0</v>
      </c>
      <c r="M126" s="52">
        <f t="shared" ref="M126" si="9">SUM(M21,M56,M91)/3</f>
        <v>0</v>
      </c>
      <c r="N126" s="52">
        <f t="shared" si="8"/>
        <v>0</v>
      </c>
      <c r="O126" s="52">
        <f t="shared" si="8"/>
        <v>0</v>
      </c>
      <c r="P126" s="52">
        <f t="shared" si="8"/>
        <v>0</v>
      </c>
      <c r="Q126" s="52">
        <f t="shared" si="8"/>
        <v>0</v>
      </c>
      <c r="R126" s="52">
        <f t="shared" si="8"/>
        <v>0</v>
      </c>
    </row>
    <row r="127" spans="1:21" customFormat="1" ht="15" x14ac:dyDescent="0.25">
      <c r="B127" s="38" t="s">
        <v>81</v>
      </c>
      <c r="C127" s="2"/>
      <c r="D127" s="2"/>
      <c r="E127" s="38"/>
      <c r="F127" s="38" t="s">
        <v>76</v>
      </c>
      <c r="G127" s="2"/>
      <c r="H127" s="2"/>
      <c r="I127" s="2"/>
      <c r="J127" s="61"/>
      <c r="K127" s="38"/>
      <c r="L127" s="52">
        <f t="shared" ref="L127:R127" si="10">SUM(L22,L57,L92)/3</f>
        <v>0</v>
      </c>
      <c r="M127" s="52">
        <f t="shared" ref="M127" si="11">SUM(M22,M57,M92)/3</f>
        <v>0</v>
      </c>
      <c r="N127" s="52">
        <f t="shared" si="10"/>
        <v>0</v>
      </c>
      <c r="O127" s="52">
        <f t="shared" si="10"/>
        <v>0</v>
      </c>
      <c r="P127" s="52">
        <f t="shared" si="10"/>
        <v>0</v>
      </c>
      <c r="Q127" s="52">
        <f t="shared" si="10"/>
        <v>0.1050228310502283</v>
      </c>
      <c r="R127" s="52">
        <f t="shared" si="10"/>
        <v>0</v>
      </c>
    </row>
    <row r="128" spans="1:21" customFormat="1" ht="15" x14ac:dyDescent="0.25">
      <c r="B128" s="38"/>
      <c r="C128" s="2"/>
      <c r="D128" s="2"/>
      <c r="E128" s="38"/>
      <c r="F128" s="38"/>
      <c r="G128" s="2"/>
      <c r="H128" s="2"/>
      <c r="I128" s="2"/>
      <c r="J128" s="61"/>
      <c r="K128" s="54"/>
      <c r="L128" s="55"/>
      <c r="M128" s="55"/>
      <c r="N128" s="55"/>
      <c r="O128" s="55"/>
      <c r="P128" s="55"/>
      <c r="Q128" s="55"/>
      <c r="R128" s="55"/>
    </row>
    <row r="129" spans="2:22" customFormat="1" ht="15" x14ac:dyDescent="0.25">
      <c r="B129" s="37" t="s">
        <v>82</v>
      </c>
      <c r="C129" s="2"/>
      <c r="D129" s="2"/>
      <c r="E129" s="38"/>
      <c r="F129" s="38"/>
      <c r="G129" s="2"/>
      <c r="H129" s="2"/>
      <c r="I129" s="2"/>
      <c r="J129" s="61"/>
      <c r="K129" s="54"/>
      <c r="L129" s="55"/>
      <c r="M129" s="55"/>
      <c r="N129" s="55"/>
      <c r="O129" s="55"/>
      <c r="P129" s="55"/>
      <c r="Q129" s="55"/>
      <c r="R129" s="55"/>
    </row>
    <row r="130" spans="2:22" customFormat="1" ht="15" x14ac:dyDescent="0.25">
      <c r="B130" s="38" t="s">
        <v>83</v>
      </c>
      <c r="C130" s="2"/>
      <c r="D130" s="2"/>
      <c r="E130" s="38"/>
      <c r="F130" s="38" t="s">
        <v>76</v>
      </c>
      <c r="G130" s="2"/>
      <c r="H130" s="2"/>
      <c r="I130" s="2"/>
      <c r="J130" s="61"/>
      <c r="K130" s="38"/>
      <c r="L130" s="52">
        <f t="shared" ref="L130:R130" si="12">SUM(L25,L60,L95)/3</f>
        <v>0</v>
      </c>
      <c r="M130" s="52">
        <f t="shared" ref="M130" si="13">SUM(M25,M60,M95)/3</f>
        <v>0</v>
      </c>
      <c r="N130" s="52">
        <f t="shared" si="12"/>
        <v>0</v>
      </c>
      <c r="O130" s="52">
        <f t="shared" si="12"/>
        <v>0</v>
      </c>
      <c r="P130" s="52">
        <f t="shared" si="12"/>
        <v>0</v>
      </c>
      <c r="Q130" s="52">
        <f t="shared" si="12"/>
        <v>0</v>
      </c>
      <c r="R130" s="52">
        <f t="shared" si="12"/>
        <v>0</v>
      </c>
    </row>
    <row r="131" spans="2:22" customFormat="1" ht="15" x14ac:dyDescent="0.25">
      <c r="B131" s="38" t="s">
        <v>84</v>
      </c>
      <c r="C131" s="2"/>
      <c r="D131" s="2"/>
      <c r="E131" s="38"/>
      <c r="F131" s="38" t="s">
        <v>76</v>
      </c>
      <c r="G131" s="2"/>
      <c r="H131" s="2"/>
      <c r="I131" s="2"/>
      <c r="J131" s="61"/>
      <c r="K131" s="38"/>
      <c r="L131" s="52">
        <f t="shared" ref="L131:R131" si="14">SUM(L26,L61,L96)/3</f>
        <v>0</v>
      </c>
      <c r="M131" s="52">
        <f t="shared" ref="M131" si="15">SUM(M26,M61,M96)/3</f>
        <v>0</v>
      </c>
      <c r="N131" s="52">
        <f t="shared" si="14"/>
        <v>0</v>
      </c>
      <c r="O131" s="52">
        <f t="shared" si="14"/>
        <v>0.33333333333333331</v>
      </c>
      <c r="P131" s="52">
        <f t="shared" si="14"/>
        <v>0</v>
      </c>
      <c r="Q131" s="52">
        <f t="shared" si="14"/>
        <v>0</v>
      </c>
      <c r="R131" s="52">
        <f t="shared" si="14"/>
        <v>0</v>
      </c>
    </row>
    <row r="132" spans="2:22" customFormat="1" ht="15" x14ac:dyDescent="0.25">
      <c r="B132" s="38" t="s">
        <v>85</v>
      </c>
      <c r="C132" s="2"/>
      <c r="D132" s="2"/>
      <c r="E132" s="38"/>
      <c r="F132" s="38" t="s">
        <v>76</v>
      </c>
      <c r="G132" s="2"/>
      <c r="H132" s="2"/>
      <c r="I132" s="2"/>
      <c r="J132" s="61"/>
      <c r="K132" s="38"/>
      <c r="L132" s="52">
        <f t="shared" ref="L132:R132" si="16">SUM(L27,L62,L97)/3</f>
        <v>0</v>
      </c>
      <c r="M132" s="52">
        <f t="shared" ref="M132" si="17">SUM(M27,M62,M97)/3</f>
        <v>0</v>
      </c>
      <c r="N132" s="52">
        <f t="shared" si="16"/>
        <v>0</v>
      </c>
      <c r="O132" s="52">
        <f t="shared" si="16"/>
        <v>0</v>
      </c>
      <c r="P132" s="52">
        <f t="shared" si="16"/>
        <v>0</v>
      </c>
      <c r="Q132" s="52">
        <f t="shared" si="16"/>
        <v>0</v>
      </c>
      <c r="R132" s="52">
        <f t="shared" si="16"/>
        <v>0</v>
      </c>
    </row>
    <row r="133" spans="2:22" customFormat="1" ht="15" x14ac:dyDescent="0.25">
      <c r="B133" s="38" t="s">
        <v>86</v>
      </c>
      <c r="C133" s="2"/>
      <c r="D133" s="2"/>
      <c r="E133" s="38"/>
      <c r="F133" s="38" t="s">
        <v>76</v>
      </c>
      <c r="G133" s="2"/>
      <c r="H133" s="2"/>
      <c r="I133" s="2"/>
      <c r="J133" s="61"/>
      <c r="K133" s="38"/>
      <c r="L133" s="52">
        <f t="shared" ref="L133:R133" si="18">SUM(L28,L63,L98)/3</f>
        <v>0</v>
      </c>
      <c r="M133" s="52">
        <f t="shared" ref="M133" si="19">SUM(M28,M63,M98)/3</f>
        <v>0</v>
      </c>
      <c r="N133" s="52">
        <f t="shared" si="18"/>
        <v>0</v>
      </c>
      <c r="O133" s="52">
        <f t="shared" si="18"/>
        <v>0</v>
      </c>
      <c r="P133" s="52">
        <f t="shared" si="18"/>
        <v>0</v>
      </c>
      <c r="Q133" s="52">
        <f t="shared" si="18"/>
        <v>0</v>
      </c>
      <c r="R133" s="52">
        <f t="shared" si="18"/>
        <v>0</v>
      </c>
    </row>
    <row r="134" spans="2:22" customFormat="1" ht="15" x14ac:dyDescent="0.25">
      <c r="B134" s="38" t="s">
        <v>87</v>
      </c>
      <c r="C134" s="2"/>
      <c r="D134" s="2"/>
      <c r="E134" s="38"/>
      <c r="F134" s="38" t="s">
        <v>76</v>
      </c>
      <c r="G134" s="2"/>
      <c r="H134" s="2"/>
      <c r="I134" s="2"/>
      <c r="J134" s="61"/>
      <c r="K134" s="38"/>
      <c r="L134" s="52">
        <f t="shared" ref="L134:R134" si="20">SUM(L29,L64,L99)/3</f>
        <v>0</v>
      </c>
      <c r="M134" s="52">
        <f t="shared" ref="M134" si="21">SUM(M29,M64,M99)/3</f>
        <v>0</v>
      </c>
      <c r="N134" s="52">
        <f t="shared" si="20"/>
        <v>0</v>
      </c>
      <c r="O134" s="52">
        <f t="shared" si="20"/>
        <v>0</v>
      </c>
      <c r="P134" s="52">
        <f t="shared" si="20"/>
        <v>0</v>
      </c>
      <c r="Q134" s="52">
        <f t="shared" si="20"/>
        <v>0</v>
      </c>
      <c r="R134" s="52">
        <f t="shared" si="20"/>
        <v>0</v>
      </c>
    </row>
    <row r="135" spans="2:22" customFormat="1" ht="15" x14ac:dyDescent="0.25">
      <c r="B135" s="38"/>
      <c r="C135" s="2"/>
      <c r="D135" s="2"/>
      <c r="E135" s="38"/>
      <c r="F135" s="38"/>
      <c r="G135" s="2"/>
      <c r="H135" s="2"/>
      <c r="I135" s="2"/>
      <c r="J135" s="61"/>
      <c r="K135" s="54"/>
      <c r="L135" s="55"/>
      <c r="M135" s="55"/>
      <c r="N135" s="55"/>
      <c r="O135" s="55"/>
      <c r="P135" s="55"/>
      <c r="Q135" s="55"/>
      <c r="R135" s="55"/>
      <c r="S135" s="56"/>
      <c r="T135" s="56"/>
      <c r="U135" s="56"/>
      <c r="V135" s="56"/>
    </row>
    <row r="136" spans="2:22" customFormat="1" ht="15" x14ac:dyDescent="0.25">
      <c r="B136" s="37" t="s">
        <v>88</v>
      </c>
      <c r="C136" s="2"/>
      <c r="D136" s="2"/>
      <c r="E136" s="38"/>
      <c r="F136" s="38"/>
      <c r="G136" s="2"/>
      <c r="H136" s="2"/>
      <c r="I136" s="2"/>
      <c r="J136" s="61"/>
      <c r="K136" s="54"/>
      <c r="L136" s="55"/>
      <c r="M136" s="55"/>
      <c r="N136" s="55"/>
      <c r="O136" s="55"/>
      <c r="P136" s="55"/>
      <c r="Q136" s="55"/>
      <c r="R136" s="55"/>
      <c r="S136" s="56"/>
      <c r="T136" s="56"/>
      <c r="U136" s="56"/>
      <c r="V136" s="56"/>
    </row>
    <row r="137" spans="2:22" customFormat="1" ht="15" x14ac:dyDescent="0.25">
      <c r="B137" s="38"/>
      <c r="C137" s="2"/>
      <c r="D137" s="2"/>
      <c r="E137" s="38"/>
      <c r="F137" s="38"/>
      <c r="G137" s="2"/>
      <c r="H137" s="2"/>
      <c r="I137" s="2"/>
      <c r="J137" s="61"/>
      <c r="K137" s="54"/>
      <c r="L137" s="55"/>
      <c r="M137" s="55"/>
      <c r="N137" s="55"/>
      <c r="O137" s="55"/>
      <c r="P137" s="55"/>
      <c r="Q137" s="55"/>
      <c r="R137" s="55"/>
      <c r="S137" s="56"/>
      <c r="T137" s="56"/>
      <c r="U137" s="56"/>
      <c r="V137" s="56"/>
    </row>
    <row r="138" spans="2:22" customFormat="1" ht="15" x14ac:dyDescent="0.25">
      <c r="B138" s="37" t="s">
        <v>89</v>
      </c>
      <c r="C138" s="2"/>
      <c r="D138" s="2"/>
      <c r="E138" s="38"/>
      <c r="F138" s="38"/>
      <c r="G138" s="2"/>
      <c r="H138" s="2"/>
      <c r="I138" s="2"/>
      <c r="J138" s="62"/>
      <c r="K138" s="54"/>
      <c r="L138" s="55"/>
      <c r="M138" s="55"/>
      <c r="N138" s="55"/>
      <c r="O138" s="55"/>
      <c r="P138" s="55"/>
      <c r="Q138" s="55"/>
      <c r="R138" s="55"/>
      <c r="S138" s="56"/>
      <c r="T138" s="56"/>
      <c r="U138" s="56"/>
      <c r="V138" s="56"/>
    </row>
    <row r="139" spans="2:22" customFormat="1" ht="15" x14ac:dyDescent="0.25">
      <c r="B139" s="38" t="s">
        <v>90</v>
      </c>
      <c r="C139" s="2"/>
      <c r="D139" s="2"/>
      <c r="E139" s="38"/>
      <c r="F139" s="38" t="s">
        <v>76</v>
      </c>
      <c r="G139" s="2"/>
      <c r="H139" s="2"/>
      <c r="I139" s="2"/>
      <c r="J139" s="61"/>
      <c r="K139" s="38"/>
      <c r="L139" s="52">
        <f t="shared" ref="L139:R139" si="22">SUM(L34,L69,L104)/3</f>
        <v>1</v>
      </c>
      <c r="M139" s="52">
        <f t="shared" ref="M139" si="23">SUM(M34,M69,M104)/3</f>
        <v>0</v>
      </c>
      <c r="N139" s="52">
        <f t="shared" si="22"/>
        <v>0</v>
      </c>
      <c r="O139" s="52">
        <f t="shared" si="22"/>
        <v>0</v>
      </c>
      <c r="P139" s="52">
        <f t="shared" si="22"/>
        <v>0.47333333333333333</v>
      </c>
      <c r="Q139" s="52">
        <f t="shared" si="22"/>
        <v>0</v>
      </c>
      <c r="R139" s="52">
        <f t="shared" si="22"/>
        <v>0</v>
      </c>
    </row>
    <row r="140" spans="2:22" customFormat="1" ht="15" x14ac:dyDescent="0.25">
      <c r="B140" s="38" t="s">
        <v>91</v>
      </c>
      <c r="C140" s="2"/>
      <c r="D140" s="2"/>
      <c r="E140" s="38"/>
      <c r="F140" s="38" t="s">
        <v>76</v>
      </c>
      <c r="G140" s="2"/>
      <c r="H140" s="2"/>
      <c r="I140" s="2"/>
      <c r="J140" s="61"/>
      <c r="K140" s="38"/>
      <c r="L140" s="52">
        <f t="shared" ref="L140:R140" si="24">SUM(L35,L70,L105)/3</f>
        <v>0</v>
      </c>
      <c r="M140" s="52">
        <f t="shared" ref="M140" si="25">SUM(M35,M70,M105)/3</f>
        <v>0</v>
      </c>
      <c r="N140" s="52">
        <f t="shared" si="24"/>
        <v>0</v>
      </c>
      <c r="O140" s="52">
        <f t="shared" si="24"/>
        <v>0</v>
      </c>
      <c r="P140" s="52">
        <f t="shared" si="24"/>
        <v>0</v>
      </c>
      <c r="Q140" s="52">
        <f t="shared" si="24"/>
        <v>0</v>
      </c>
      <c r="R140" s="52">
        <f t="shared" si="24"/>
        <v>0</v>
      </c>
    </row>
    <row r="141" spans="2:22" customFormat="1" ht="15" x14ac:dyDescent="0.25">
      <c r="C141" s="2"/>
      <c r="D141" s="2"/>
      <c r="E141" s="38"/>
      <c r="F141" s="38"/>
      <c r="G141" s="2"/>
      <c r="H141" s="2"/>
      <c r="I141" s="2"/>
      <c r="J141" s="61"/>
      <c r="K141" s="54"/>
      <c r="L141" s="55"/>
      <c r="M141" s="55"/>
      <c r="N141" s="55"/>
      <c r="O141" s="55"/>
      <c r="P141" s="55"/>
      <c r="Q141" s="55"/>
      <c r="R141" s="55"/>
      <c r="S141" s="56"/>
      <c r="T141" s="56"/>
    </row>
    <row r="142" spans="2:22" customFormat="1" ht="15" x14ac:dyDescent="0.25">
      <c r="B142" s="38" t="s">
        <v>92</v>
      </c>
      <c r="C142" s="2"/>
      <c r="D142" s="2"/>
      <c r="E142" s="38"/>
      <c r="F142" s="38" t="s">
        <v>76</v>
      </c>
      <c r="G142" s="2"/>
      <c r="H142" s="2"/>
      <c r="I142" s="2"/>
      <c r="J142" s="61"/>
      <c r="K142" s="38"/>
      <c r="L142" s="52">
        <f t="shared" ref="L142:R142" si="26">SUM(L37,L72,L107)/3</f>
        <v>0</v>
      </c>
      <c r="M142" s="52">
        <f t="shared" ref="M142" si="27">SUM(M37,M72,M107)/3</f>
        <v>0</v>
      </c>
      <c r="N142" s="52">
        <f t="shared" si="26"/>
        <v>11.967943271851601</v>
      </c>
      <c r="O142" s="52">
        <f t="shared" si="26"/>
        <v>6.583333333333333</v>
      </c>
      <c r="P142" s="52">
        <f t="shared" si="26"/>
        <v>0</v>
      </c>
      <c r="Q142" s="52">
        <f t="shared" si="26"/>
        <v>3</v>
      </c>
      <c r="R142" s="52">
        <f t="shared" si="26"/>
        <v>0</v>
      </c>
    </row>
    <row r="143" spans="2:22" customFormat="1" ht="15" x14ac:dyDescent="0.25">
      <c r="B143" s="38"/>
      <c r="C143" s="2"/>
      <c r="D143" s="2"/>
      <c r="E143" s="38"/>
      <c r="F143" s="38"/>
      <c r="G143" s="2"/>
      <c r="H143" s="2"/>
      <c r="I143" s="2"/>
      <c r="J143" s="61"/>
      <c r="K143" s="54"/>
      <c r="L143" s="55"/>
      <c r="M143" s="55"/>
      <c r="N143" s="55"/>
      <c r="O143" s="55"/>
      <c r="P143" s="55"/>
      <c r="Q143" s="55"/>
      <c r="R143" s="55"/>
      <c r="S143" s="56"/>
      <c r="T143" s="56"/>
    </row>
    <row r="144" spans="2:22" customFormat="1" ht="15" x14ac:dyDescent="0.25">
      <c r="B144" s="37" t="s">
        <v>93</v>
      </c>
      <c r="C144" s="2"/>
      <c r="D144" s="2"/>
      <c r="E144" s="38"/>
      <c r="F144" s="38"/>
      <c r="G144" s="2"/>
      <c r="H144" s="2"/>
      <c r="I144" s="2"/>
      <c r="J144" s="61"/>
      <c r="K144" s="54"/>
      <c r="L144" s="55"/>
      <c r="M144" s="55"/>
      <c r="N144" s="55"/>
      <c r="O144" s="55"/>
      <c r="P144" s="55"/>
      <c r="Q144" s="55"/>
      <c r="R144" s="55"/>
      <c r="S144" s="56"/>
      <c r="T144" s="56"/>
    </row>
    <row r="145" spans="1:21" customFormat="1" ht="15" x14ac:dyDescent="0.25">
      <c r="B145" s="38"/>
      <c r="C145" s="2"/>
      <c r="D145" s="2"/>
      <c r="E145" s="38"/>
      <c r="F145" s="38"/>
      <c r="G145" s="2"/>
      <c r="H145" s="2"/>
      <c r="I145" s="2"/>
      <c r="J145" s="61"/>
      <c r="K145" s="54"/>
      <c r="L145" s="55"/>
      <c r="M145" s="55"/>
      <c r="N145" s="55"/>
      <c r="O145" s="55"/>
      <c r="P145" s="55"/>
      <c r="Q145" s="55"/>
      <c r="R145" s="55"/>
      <c r="S145" s="56"/>
      <c r="T145" s="56"/>
    </row>
    <row r="146" spans="1:21" customFormat="1" ht="15" x14ac:dyDescent="0.25">
      <c r="B146" s="37" t="s">
        <v>89</v>
      </c>
      <c r="C146" s="2"/>
      <c r="D146" s="2"/>
      <c r="E146" s="38"/>
      <c r="F146" s="38"/>
      <c r="G146" s="2"/>
      <c r="H146" s="2"/>
      <c r="I146" s="2"/>
      <c r="J146" s="61"/>
      <c r="K146" s="54"/>
      <c r="L146" s="55"/>
      <c r="M146" s="55"/>
      <c r="N146" s="55"/>
      <c r="O146" s="55"/>
      <c r="P146" s="55"/>
      <c r="Q146" s="55"/>
      <c r="R146" s="55"/>
      <c r="S146" s="56"/>
      <c r="T146" s="56"/>
    </row>
    <row r="147" spans="1:21" customFormat="1" ht="15" x14ac:dyDescent="0.25">
      <c r="B147" s="38" t="s">
        <v>90</v>
      </c>
      <c r="C147" s="2"/>
      <c r="D147" s="2"/>
      <c r="E147" s="38"/>
      <c r="F147" s="38" t="s">
        <v>76</v>
      </c>
      <c r="G147" s="2"/>
      <c r="H147" s="2"/>
      <c r="I147" s="2"/>
      <c r="J147" s="61"/>
      <c r="K147" s="38"/>
      <c r="L147" s="52">
        <f t="shared" ref="L147:R147" si="28">SUM(L42,L77,L112)/3</f>
        <v>0</v>
      </c>
      <c r="M147" s="52">
        <f t="shared" ref="M147" si="29">SUM(M42,M77,M112)/3</f>
        <v>0</v>
      </c>
      <c r="N147" s="52">
        <f t="shared" si="28"/>
        <v>0</v>
      </c>
      <c r="O147" s="52">
        <f t="shared" si="28"/>
        <v>0</v>
      </c>
      <c r="P147" s="52">
        <f t="shared" si="28"/>
        <v>714.33333333333337</v>
      </c>
      <c r="Q147" s="52">
        <f t="shared" si="28"/>
        <v>0</v>
      </c>
      <c r="R147" s="52">
        <f t="shared" si="28"/>
        <v>0</v>
      </c>
    </row>
    <row r="148" spans="1:21" customFormat="1" ht="15" x14ac:dyDescent="0.25">
      <c r="B148" s="38" t="s">
        <v>91</v>
      </c>
      <c r="C148" s="2"/>
      <c r="D148" s="2"/>
      <c r="E148" s="38"/>
      <c r="F148" s="38" t="s">
        <v>76</v>
      </c>
      <c r="G148" s="2"/>
      <c r="H148" s="2"/>
      <c r="I148" s="2"/>
      <c r="J148" s="61"/>
      <c r="K148" s="38"/>
      <c r="L148" s="52">
        <f t="shared" ref="L148:R148" si="30">SUM(L43,L78,L113)/3</f>
        <v>0</v>
      </c>
      <c r="M148" s="52">
        <f t="shared" ref="M148" si="31">SUM(M43,M78,M113)/3</f>
        <v>0</v>
      </c>
      <c r="N148" s="52">
        <f t="shared" si="30"/>
        <v>0</v>
      </c>
      <c r="O148" s="52">
        <f t="shared" si="30"/>
        <v>0</v>
      </c>
      <c r="P148" s="52">
        <f t="shared" si="30"/>
        <v>0</v>
      </c>
      <c r="Q148" s="52">
        <f t="shared" si="30"/>
        <v>0</v>
      </c>
      <c r="R148" s="52">
        <f t="shared" si="30"/>
        <v>0</v>
      </c>
    </row>
    <row r="149" spans="1:21" customFormat="1" ht="15" x14ac:dyDescent="0.25">
      <c r="B149" s="38"/>
      <c r="C149" s="2"/>
      <c r="D149" s="2"/>
      <c r="E149" s="38"/>
      <c r="F149" s="38"/>
      <c r="G149" s="2"/>
      <c r="H149" s="2"/>
      <c r="I149" s="2"/>
      <c r="J149" s="61"/>
      <c r="K149" s="54"/>
      <c r="L149" s="55"/>
      <c r="M149" s="55"/>
      <c r="N149" s="55"/>
      <c r="O149" s="55"/>
      <c r="P149" s="55"/>
      <c r="Q149" s="55"/>
      <c r="R149" s="55"/>
      <c r="S149" s="56"/>
      <c r="T149" s="56"/>
    </row>
    <row r="150" spans="1:21" customFormat="1" ht="15" x14ac:dyDescent="0.25">
      <c r="B150" s="38" t="s">
        <v>94</v>
      </c>
      <c r="C150" s="2"/>
      <c r="D150" s="2"/>
      <c r="E150" s="38"/>
      <c r="F150" s="38" t="s">
        <v>76</v>
      </c>
      <c r="G150" s="2"/>
      <c r="H150" s="2"/>
      <c r="I150" s="2"/>
      <c r="J150" s="61"/>
      <c r="K150" s="38"/>
      <c r="L150" s="52">
        <f t="shared" ref="L150:R150" si="32">SUM(L45,L80,L115)/3</f>
        <v>0</v>
      </c>
      <c r="M150" s="52">
        <f t="shared" ref="M150" si="33">SUM(M45,M80,M115)/3</f>
        <v>0</v>
      </c>
      <c r="N150" s="52">
        <f t="shared" si="32"/>
        <v>10672.483623519271</v>
      </c>
      <c r="O150" s="52">
        <f t="shared" si="32"/>
        <v>2648.3333333333335</v>
      </c>
      <c r="P150" s="52">
        <f t="shared" si="32"/>
        <v>0</v>
      </c>
      <c r="Q150" s="52">
        <f t="shared" si="32"/>
        <v>523.99964898424821</v>
      </c>
      <c r="R150" s="52">
        <f t="shared" si="32"/>
        <v>0</v>
      </c>
    </row>
    <row r="151" spans="1:21" customFormat="1" ht="15" x14ac:dyDescent="0.25">
      <c r="C151" s="2"/>
      <c r="D151" s="2"/>
      <c r="J151" s="62"/>
      <c r="M151" s="123"/>
    </row>
    <row r="152" spans="1:21" s="8" customFormat="1" x14ac:dyDescent="0.25">
      <c r="B152" s="8" t="s">
        <v>231</v>
      </c>
    </row>
    <row r="153" spans="1:21" customFormat="1" ht="15" x14ac:dyDescent="0.25">
      <c r="A153" s="38"/>
      <c r="B153" s="38"/>
      <c r="C153" s="38"/>
      <c r="D153" s="38"/>
      <c r="E153" s="38"/>
      <c r="F153" s="40"/>
      <c r="G153" s="38"/>
      <c r="H153" s="39"/>
      <c r="I153" s="39"/>
      <c r="J153" s="39"/>
      <c r="K153" s="39"/>
      <c r="L153" s="39"/>
      <c r="M153" s="39"/>
      <c r="N153" s="39"/>
    </row>
    <row r="154" spans="1:21" customFormat="1" ht="15" x14ac:dyDescent="0.25">
      <c r="B154" s="37" t="s">
        <v>96</v>
      </c>
      <c r="C154" s="38"/>
      <c r="D154" s="38"/>
      <c r="E154" s="38"/>
      <c r="F154" s="40"/>
      <c r="G154" s="38"/>
      <c r="H154" s="39"/>
      <c r="I154" s="39"/>
      <c r="J154" s="39"/>
      <c r="K154" s="39"/>
      <c r="L154" s="39"/>
      <c r="M154" s="39"/>
      <c r="N154" s="39"/>
    </row>
    <row r="155" spans="1:21" customFormat="1" ht="15" x14ac:dyDescent="0.25">
      <c r="B155" s="38"/>
      <c r="C155" s="38"/>
      <c r="D155" s="38"/>
      <c r="E155" s="38"/>
      <c r="F155" s="40"/>
      <c r="G155" s="38"/>
      <c r="H155" s="39"/>
      <c r="I155" s="39"/>
      <c r="J155" s="39"/>
      <c r="K155" s="39"/>
      <c r="L155" s="39"/>
      <c r="M155" s="39"/>
      <c r="N155" s="39"/>
      <c r="U155" s="2"/>
    </row>
    <row r="156" spans="1:21" customFormat="1" ht="15" x14ac:dyDescent="0.25">
      <c r="B156" s="37" t="s">
        <v>97</v>
      </c>
      <c r="C156" s="38"/>
      <c r="D156" s="38"/>
      <c r="E156" s="38"/>
      <c r="F156" s="40"/>
      <c r="G156" s="38"/>
      <c r="H156" s="39"/>
      <c r="I156" s="39"/>
      <c r="J156" s="39"/>
      <c r="K156" s="39"/>
      <c r="L156" s="39"/>
      <c r="M156" s="39"/>
      <c r="N156" s="39"/>
      <c r="U156" s="2"/>
    </row>
    <row r="157" spans="1:21" customFormat="1" ht="15" x14ac:dyDescent="0.25">
      <c r="B157" s="38" t="s">
        <v>98</v>
      </c>
      <c r="C157" s="38"/>
      <c r="D157" s="2"/>
      <c r="E157" s="38"/>
      <c r="F157" s="38" t="s">
        <v>192</v>
      </c>
      <c r="G157" s="38"/>
      <c r="H157" s="2"/>
      <c r="I157" s="2"/>
      <c r="J157" s="2"/>
      <c r="K157" s="2"/>
      <c r="L157" s="47"/>
      <c r="M157" s="47"/>
      <c r="N157" s="47"/>
      <c r="O157" s="47"/>
      <c r="P157" s="47"/>
      <c r="Q157" s="125">
        <v>18</v>
      </c>
      <c r="R157" s="47"/>
      <c r="U157" s="2" t="s">
        <v>266</v>
      </c>
    </row>
    <row r="158" spans="1:21" customFormat="1" ht="15" x14ac:dyDescent="0.25">
      <c r="B158" s="38" t="s">
        <v>99</v>
      </c>
      <c r="C158" s="38"/>
      <c r="D158" s="2"/>
      <c r="E158" s="38"/>
      <c r="F158" s="38" t="s">
        <v>192</v>
      </c>
      <c r="G158" s="38"/>
      <c r="H158" s="2"/>
      <c r="I158" s="2"/>
      <c r="J158" s="2"/>
      <c r="K158" s="2"/>
      <c r="L158" s="47"/>
      <c r="M158" s="47"/>
      <c r="N158" s="47"/>
      <c r="O158" s="47"/>
      <c r="P158" s="47"/>
      <c r="Q158" s="125">
        <v>29.0306</v>
      </c>
      <c r="R158" s="47"/>
      <c r="U158" s="2" t="s">
        <v>266</v>
      </c>
    </row>
    <row r="159" spans="1:21" customFormat="1" ht="15" x14ac:dyDescent="0.25">
      <c r="B159" s="38"/>
      <c r="C159" s="38"/>
      <c r="D159" s="2"/>
      <c r="E159" s="38"/>
      <c r="F159" s="38"/>
      <c r="G159" s="38"/>
      <c r="H159" s="2"/>
      <c r="I159" s="2"/>
      <c r="J159" s="2"/>
      <c r="K159" s="2"/>
      <c r="L159" s="41"/>
      <c r="M159" s="41"/>
      <c r="N159" s="41"/>
      <c r="O159" s="41"/>
      <c r="P159" s="41"/>
      <c r="Q159" s="41"/>
      <c r="R159" s="41"/>
      <c r="U159" s="2"/>
    </row>
    <row r="160" spans="1:21" customFormat="1" ht="15" x14ac:dyDescent="0.25">
      <c r="B160" s="37" t="s">
        <v>100</v>
      </c>
      <c r="C160" s="38"/>
      <c r="D160" s="2"/>
      <c r="E160" s="38"/>
      <c r="F160" s="38"/>
      <c r="G160" s="38"/>
      <c r="H160" s="2"/>
      <c r="I160" s="2"/>
      <c r="J160" s="2"/>
      <c r="K160" s="2"/>
      <c r="L160" s="41"/>
      <c r="M160" s="41"/>
      <c r="N160" s="41"/>
      <c r="O160" s="41"/>
      <c r="P160" s="41"/>
      <c r="Q160" s="41"/>
      <c r="R160" s="41"/>
      <c r="U160" s="2"/>
    </row>
    <row r="161" spans="2:26" customFormat="1" ht="15" x14ac:dyDescent="0.25">
      <c r="B161" s="38" t="s">
        <v>98</v>
      </c>
      <c r="C161" s="38"/>
      <c r="D161" s="2"/>
      <c r="E161" s="38"/>
      <c r="F161" s="38" t="s">
        <v>192</v>
      </c>
      <c r="G161" s="38"/>
      <c r="H161" s="2"/>
      <c r="I161" s="2"/>
      <c r="J161" s="2"/>
      <c r="K161" s="2"/>
      <c r="L161" s="47"/>
      <c r="M161" s="47"/>
      <c r="N161" s="47"/>
      <c r="O161" s="125">
        <v>18</v>
      </c>
      <c r="P161" s="47"/>
      <c r="Q161" s="47"/>
      <c r="R161" s="47"/>
      <c r="U161" s="2" t="s">
        <v>266</v>
      </c>
    </row>
    <row r="162" spans="2:26" customFormat="1" ht="15" x14ac:dyDescent="0.25">
      <c r="B162" s="38" t="s">
        <v>99</v>
      </c>
      <c r="C162" s="38"/>
      <c r="D162" s="2"/>
      <c r="E162" s="38"/>
      <c r="F162" s="38" t="s">
        <v>192</v>
      </c>
      <c r="G162" s="38"/>
      <c r="H162" s="2"/>
      <c r="I162" s="2"/>
      <c r="J162" s="2"/>
      <c r="K162" s="2"/>
      <c r="L162" s="47"/>
      <c r="M162" s="47"/>
      <c r="N162" s="47"/>
      <c r="O162" s="125">
        <v>32.04</v>
      </c>
      <c r="P162" s="47"/>
      <c r="Q162" s="47"/>
      <c r="R162" s="47"/>
      <c r="U162" s="2" t="s">
        <v>266</v>
      </c>
    </row>
    <row r="163" spans="2:26" customFormat="1" ht="15" x14ac:dyDescent="0.25">
      <c r="B163" s="38"/>
      <c r="C163" s="38"/>
      <c r="D163" s="2"/>
      <c r="E163" s="38"/>
      <c r="F163" s="38"/>
      <c r="G163" s="38"/>
      <c r="H163" s="2"/>
      <c r="I163" s="2"/>
      <c r="J163" s="2"/>
      <c r="K163" s="2"/>
      <c r="L163" s="41"/>
      <c r="M163" s="41"/>
      <c r="N163" s="41"/>
      <c r="O163" s="41"/>
      <c r="P163" s="41"/>
      <c r="Q163" s="41"/>
      <c r="R163" s="41"/>
      <c r="U163" s="2"/>
    </row>
    <row r="164" spans="2:26" customFormat="1" ht="15" x14ac:dyDescent="0.25">
      <c r="B164" s="37" t="s">
        <v>101</v>
      </c>
      <c r="C164" s="38"/>
      <c r="D164" s="2"/>
      <c r="E164" s="38"/>
      <c r="F164" s="38"/>
      <c r="G164" s="40"/>
      <c r="H164" s="2"/>
      <c r="I164" s="2"/>
      <c r="J164" s="2"/>
      <c r="K164" s="2"/>
      <c r="L164" s="153"/>
      <c r="M164" s="153"/>
      <c r="N164" s="153"/>
      <c r="O164" s="153"/>
      <c r="P164" s="153"/>
      <c r="Q164" s="48"/>
      <c r="R164" s="41"/>
      <c r="U164" s="2"/>
    </row>
    <row r="165" spans="2:26" customFormat="1" ht="15" x14ac:dyDescent="0.25">
      <c r="B165" s="38" t="s">
        <v>98</v>
      </c>
      <c r="C165" s="38"/>
      <c r="D165" s="2"/>
      <c r="E165" s="38"/>
      <c r="F165" s="38" t="s">
        <v>192</v>
      </c>
      <c r="G165" s="38"/>
      <c r="H165" s="2"/>
      <c r="I165" s="2"/>
      <c r="J165" s="2"/>
      <c r="K165" s="2"/>
      <c r="L165" s="125">
        <v>529.67769999999996</v>
      </c>
      <c r="M165" s="162"/>
      <c r="N165" s="125">
        <v>1036.0999999999999</v>
      </c>
      <c r="O165" s="125">
        <v>855</v>
      </c>
      <c r="P165" s="125">
        <v>612.85</v>
      </c>
      <c r="Q165" s="125">
        <v>780.01620000000003</v>
      </c>
      <c r="R165" s="47"/>
      <c r="U165" s="2" t="s">
        <v>266</v>
      </c>
    </row>
    <row r="166" spans="2:26" customFormat="1" ht="15" x14ac:dyDescent="0.25">
      <c r="B166" s="38" t="s">
        <v>90</v>
      </c>
      <c r="C166" s="38"/>
      <c r="D166" s="2"/>
      <c r="E166" s="38"/>
      <c r="F166" s="38" t="s">
        <v>192</v>
      </c>
      <c r="G166" s="38"/>
      <c r="H166" s="2"/>
      <c r="I166" s="2"/>
      <c r="J166" s="2"/>
      <c r="K166" s="2"/>
      <c r="L166" s="47"/>
      <c r="M166" s="47"/>
      <c r="N166" s="47"/>
      <c r="O166" s="47"/>
      <c r="P166" s="125">
        <v>22.55</v>
      </c>
      <c r="Q166" s="47"/>
      <c r="R166" s="47"/>
      <c r="U166" s="2" t="s">
        <v>266</v>
      </c>
    </row>
    <row r="167" spans="2:26" customFormat="1" ht="15" x14ac:dyDescent="0.25">
      <c r="B167" s="38" t="s">
        <v>91</v>
      </c>
      <c r="C167" s="38"/>
      <c r="D167" s="2"/>
      <c r="E167" s="38"/>
      <c r="F167" s="38" t="s">
        <v>192</v>
      </c>
      <c r="G167" s="38"/>
      <c r="H167" s="2"/>
      <c r="I167" s="2"/>
      <c r="J167" s="2"/>
      <c r="K167" s="2"/>
      <c r="L167" s="47"/>
      <c r="M167" s="47"/>
      <c r="N167" s="47"/>
      <c r="O167" s="47"/>
      <c r="P167" s="47"/>
      <c r="Q167" s="47"/>
      <c r="R167" s="47"/>
      <c r="U167" s="2" t="s">
        <v>266</v>
      </c>
    </row>
    <row r="168" spans="2:26" customFormat="1" ht="15" x14ac:dyDescent="0.25">
      <c r="B168" s="38" t="s">
        <v>102</v>
      </c>
      <c r="C168" s="38"/>
      <c r="D168" s="2"/>
      <c r="E168" s="38"/>
      <c r="F168" s="38" t="s">
        <v>192</v>
      </c>
      <c r="G168" s="38"/>
      <c r="H168" s="2"/>
      <c r="I168" s="2"/>
      <c r="J168" s="2"/>
      <c r="K168" s="2"/>
      <c r="L168" s="47"/>
      <c r="M168" s="47"/>
      <c r="N168" s="125">
        <v>23.823</v>
      </c>
      <c r="O168" s="125">
        <v>22.080000000000002</v>
      </c>
      <c r="P168" s="47"/>
      <c r="Q168" s="125">
        <v>25.25</v>
      </c>
      <c r="R168" s="47"/>
      <c r="U168" s="2" t="s">
        <v>266</v>
      </c>
    </row>
    <row r="169" spans="2:26" customFormat="1" ht="15" x14ac:dyDescent="0.25">
      <c r="D169" s="2"/>
      <c r="H169" s="2"/>
      <c r="I169" s="2"/>
      <c r="J169" s="2"/>
      <c r="K169" s="2"/>
      <c r="L169" s="49"/>
      <c r="M169" s="49"/>
      <c r="N169" s="49"/>
      <c r="O169" s="49"/>
      <c r="P169" s="49"/>
      <c r="Q169" s="49"/>
      <c r="R169" s="49"/>
      <c r="U169" s="2"/>
    </row>
    <row r="170" spans="2:26" customFormat="1" ht="15" x14ac:dyDescent="0.25">
      <c r="B170" s="37" t="s">
        <v>103</v>
      </c>
      <c r="D170" s="2"/>
      <c r="H170" s="2"/>
      <c r="I170" s="2"/>
      <c r="J170" s="2"/>
      <c r="K170" s="2"/>
      <c r="L170" s="49"/>
      <c r="M170" s="49"/>
      <c r="N170" s="49"/>
      <c r="O170" s="49"/>
      <c r="P170" s="49"/>
      <c r="Q170" s="49"/>
      <c r="R170" s="49"/>
    </row>
    <row r="171" spans="2:26" customFormat="1" ht="15" x14ac:dyDescent="0.25">
      <c r="B171" s="2"/>
      <c r="D171" s="2"/>
      <c r="H171" s="2"/>
      <c r="I171" s="2"/>
      <c r="J171" s="2"/>
      <c r="K171" s="2"/>
      <c r="L171" s="49"/>
      <c r="M171" s="49"/>
      <c r="N171" s="49"/>
      <c r="O171" s="49"/>
      <c r="P171" s="49"/>
      <c r="Q171" s="49"/>
      <c r="R171" s="49"/>
    </row>
    <row r="172" spans="2:26" customFormat="1" ht="15" x14ac:dyDescent="0.25">
      <c r="B172" s="2" t="s">
        <v>81</v>
      </c>
      <c r="D172" s="2"/>
      <c r="F172" s="38" t="s">
        <v>166</v>
      </c>
      <c r="H172" s="2"/>
      <c r="I172" s="2"/>
      <c r="J172" s="2"/>
      <c r="K172" s="2"/>
      <c r="L172" s="51"/>
      <c r="M172" s="51"/>
      <c r="N172" s="51"/>
      <c r="O172" s="51"/>
      <c r="P172" s="51"/>
      <c r="Q172" s="125">
        <v>25</v>
      </c>
      <c r="R172" s="51"/>
      <c r="U172" s="2" t="s">
        <v>195</v>
      </c>
      <c r="Z172" s="36"/>
    </row>
    <row r="173" spans="2:26" customFormat="1" ht="15" x14ac:dyDescent="0.25">
      <c r="B173" s="2" t="s">
        <v>84</v>
      </c>
      <c r="D173" s="2"/>
      <c r="F173" s="38" t="s">
        <v>166</v>
      </c>
      <c r="H173" s="2"/>
      <c r="I173" s="2"/>
      <c r="J173" s="2"/>
      <c r="K173" s="2"/>
      <c r="L173" s="51"/>
      <c r="M173" s="51"/>
      <c r="N173" s="51"/>
      <c r="O173" s="125">
        <v>65</v>
      </c>
      <c r="P173" s="51"/>
      <c r="Q173" s="51"/>
      <c r="R173" s="51"/>
      <c r="U173" s="2" t="s">
        <v>196</v>
      </c>
      <c r="Z173" s="36"/>
    </row>
    <row r="174" spans="2:26" customFormat="1" ht="15" x14ac:dyDescent="0.25">
      <c r="M174" s="123"/>
    </row>
    <row r="175" spans="2:26" customFormat="1" ht="15" x14ac:dyDescent="0.25">
      <c r="M175" s="123"/>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C42BCD4D3B3464A9D2A7788490F1CE1" ma:contentTypeVersion="0" ma:contentTypeDescription="Een nieuw document maken." ma:contentTypeScope="" ma:versionID="167cf73272f810ef01c088e1633461d1">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B3A86E-602F-4E80-A341-BED6C4CC98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CDAB9D1-B815-4B0E-93E7-4496A7FE99F6}">
  <ds:schemaRefs>
    <ds:schemaRef ds:uri="http://schemas.openxmlformats.org/package/2006/metadata/core-properties"/>
    <ds:schemaRef ds:uri="http://purl.org/dc/dcmitype/"/>
    <ds:schemaRef ds:uri="http://schemas.microsoft.com/office/2006/metadata/properties"/>
    <ds:schemaRef ds:uri="http://purl.org/dc/elements/1.1/"/>
    <ds:schemaRef ds:uri="http://www.w3.org/XML/1998/namespace"/>
    <ds:schemaRef ds:uri="http://schemas.microsoft.com/office/2006/documentManagement/types"/>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5AD5E579-EDEB-42CD-B662-5E3E21C16D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16</vt:i4>
      </vt:variant>
    </vt:vector>
  </HeadingPairs>
  <TitlesOfParts>
    <vt:vector size="16" baseType="lpstr">
      <vt:lpstr>Titelblad</vt:lpstr>
      <vt:lpstr>Toelichting</vt:lpstr>
      <vt:lpstr>Bronnen en toepassingen</vt:lpstr>
      <vt:lpstr>TI-berekening 2022</vt:lpstr>
      <vt:lpstr>Input --&gt;</vt:lpstr>
      <vt:lpstr>Input parameters</vt:lpstr>
      <vt:lpstr>Input x-factor, begininkomsten</vt:lpstr>
      <vt:lpstr>Input lokale heffingen 2020</vt:lpstr>
      <vt:lpstr>Input invoeding groen gas 2021</vt:lpstr>
      <vt:lpstr>Input richtbedragen</vt:lpstr>
      <vt:lpstr>Berekeningen --&gt;</vt:lpstr>
      <vt:lpstr>Parameters</vt:lpstr>
      <vt:lpstr>Lokale heffingen 2020</vt:lpstr>
      <vt:lpstr>Invoeding groen gas 2021</vt:lpstr>
      <vt:lpstr>Lagere tarieven RENDO</vt:lpstr>
      <vt:lpstr>Richtbedragen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2018-05-15T11:27:11Z</dcterms:created>
  <dcterms:modified xsi:type="dcterms:W3CDTF">2021-11-22T08:36:36Z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0x010100DC42BCD4D3B3464A9D2A7788490F1CE1</vt:lpwstr>
  </property>
</Properties>
</file>