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05" yWindow="915" windowWidth="14805" windowHeight="6870"/>
  </bookViews>
  <sheets>
    <sheet name="Front Page" sheetId="18" r:id="rId1"/>
    <sheet name="Explanatory Notes" sheetId="19" r:id="rId2"/>
    <sheet name="Result -&gt;" sheetId="23" r:id="rId3"/>
    <sheet name="User tariff STUCO jul-dec 2018" sheetId="30" r:id="rId4"/>
    <sheet name="Appendix 1 " sheetId="32" r:id="rId5"/>
    <sheet name="Input-&gt;" sheetId="11" r:id="rId6"/>
    <sheet name="Input data production" sheetId="20" r:id="rId7"/>
    <sheet name="Input data fuel prices" sheetId="24" r:id="rId8"/>
    <sheet name="Calculations--&gt;" sheetId="13" r:id="rId9"/>
    <sheet name="New estimation production price" sheetId="25" r:id="rId10"/>
    <sheet name="Corr fuel price difference " sheetId="28" r:id="rId11"/>
  </sheets>
  <calcPr calcId="145621"/>
</workbook>
</file>

<file path=xl/calcChain.xml><?xml version="1.0" encoding="utf-8"?>
<calcChain xmlns="http://schemas.openxmlformats.org/spreadsheetml/2006/main">
  <c r="H24" i="25" l="1"/>
  <c r="G15" i="32" l="1"/>
  <c r="G12" i="32"/>
  <c r="H38" i="28" l="1"/>
  <c r="H35" i="28"/>
  <c r="H34" i="28"/>
  <c r="H26" i="28"/>
  <c r="J54" i="20" l="1"/>
  <c r="U41" i="28" s="1"/>
  <c r="U63" i="28" s="1"/>
  <c r="J52" i="20"/>
  <c r="S41" i="28" s="1"/>
  <c r="S63" i="28" s="1"/>
  <c r="J50" i="20"/>
  <c r="Q41" i="28" s="1"/>
  <c r="Q63" i="28" s="1"/>
  <c r="J46" i="20"/>
  <c r="M41" i="28" s="1"/>
  <c r="M63" i="28" s="1"/>
  <c r="J48" i="20"/>
  <c r="O41" i="28" s="1"/>
  <c r="O63" i="28" s="1"/>
  <c r="S60" i="28"/>
  <c r="T60" i="28"/>
  <c r="U60" i="28"/>
  <c r="V60" i="28"/>
  <c r="R60" i="28"/>
  <c r="M60" i="28"/>
  <c r="N60" i="28"/>
  <c r="O60" i="28"/>
  <c r="P60" i="28"/>
  <c r="Q60" i="28"/>
  <c r="L60" i="28"/>
  <c r="S50" i="28"/>
  <c r="T50" i="28"/>
  <c r="U50" i="28"/>
  <c r="V50" i="28"/>
  <c r="R50" i="28"/>
  <c r="S46" i="28"/>
  <c r="T46" i="28"/>
  <c r="U46" i="28"/>
  <c r="V46" i="28"/>
  <c r="R46" i="28"/>
  <c r="T52" i="28"/>
  <c r="V53" i="28" s="1"/>
  <c r="S52" i="28"/>
  <c r="U53" i="28" s="1"/>
  <c r="R52" i="28"/>
  <c r="T53" i="28" s="1"/>
  <c r="Q52" i="28"/>
  <c r="S53" i="28" s="1"/>
  <c r="P52" i="28"/>
  <c r="R53" i="28" s="1"/>
  <c r="O52" i="28"/>
  <c r="Q53" i="28" s="1"/>
  <c r="N52" i="28"/>
  <c r="P53" i="28" s="1"/>
  <c r="M52" i="28"/>
  <c r="O53" i="28" s="1"/>
  <c r="L52" i="28"/>
  <c r="N53" i="28" s="1"/>
  <c r="K52" i="28"/>
  <c r="M53" i="28" s="1"/>
  <c r="J52" i="28"/>
  <c r="L53" i="28" s="1"/>
  <c r="H31" i="28"/>
  <c r="H30" i="28"/>
  <c r="S48" i="28" s="1"/>
  <c r="H23" i="28"/>
  <c r="O50" i="28" s="1"/>
  <c r="H22" i="28"/>
  <c r="O46" i="28" s="1"/>
  <c r="H19" i="28"/>
  <c r="H18" i="28"/>
  <c r="M48" i="28" s="1"/>
  <c r="H15" i="25"/>
  <c r="H14" i="25"/>
  <c r="J51" i="20"/>
  <c r="R41" i="28" s="1"/>
  <c r="R63" i="28" s="1"/>
  <c r="J45" i="20"/>
  <c r="L41" i="28" s="1"/>
  <c r="L63" i="28" s="1"/>
  <c r="J29" i="20"/>
  <c r="H34" i="20" s="1"/>
  <c r="J49" i="20" l="1"/>
  <c r="P41" i="28" s="1"/>
  <c r="P63" i="28" s="1"/>
  <c r="J53" i="20"/>
  <c r="T41" i="28" s="1"/>
  <c r="T63" i="28" s="1"/>
  <c r="J55" i="20"/>
  <c r="V41" i="28" s="1"/>
  <c r="V63" i="28" s="1"/>
  <c r="J47" i="20"/>
  <c r="N41" i="28" s="1"/>
  <c r="N63" i="28" s="1"/>
  <c r="L50" i="28"/>
  <c r="N50" i="28"/>
  <c r="Q50" i="28"/>
  <c r="M50" i="28"/>
  <c r="P50" i="28"/>
  <c r="L48" i="28"/>
  <c r="P48" i="28"/>
  <c r="R48" i="28"/>
  <c r="V48" i="28"/>
  <c r="N48" i="28"/>
  <c r="T48" i="28"/>
  <c r="O48" i="28"/>
  <c r="U48" i="28"/>
  <c r="Q48" i="28"/>
  <c r="L46" i="28"/>
  <c r="N46" i="28"/>
  <c r="M46" i="28"/>
  <c r="P46" i="28"/>
  <c r="Q46" i="28"/>
  <c r="H20" i="28"/>
  <c r="H32" i="28"/>
  <c r="H74" i="28" s="1"/>
  <c r="V49" i="28" l="1"/>
  <c r="V55" i="28" s="1"/>
  <c r="V61" i="28" s="1"/>
  <c r="V65" i="28" s="1"/>
  <c r="R49" i="28"/>
  <c r="R55" i="28" s="1"/>
  <c r="R61" i="28" s="1"/>
  <c r="R65" i="28" s="1"/>
  <c r="S49" i="28"/>
  <c r="S55" i="28" s="1"/>
  <c r="S61" i="28" s="1"/>
  <c r="S65" i="28" s="1"/>
  <c r="T49" i="28"/>
  <c r="T55" i="28" s="1"/>
  <c r="T61" i="28" s="1"/>
  <c r="T65" i="28" s="1"/>
  <c r="U49" i="28"/>
  <c r="U55" i="28" s="1"/>
  <c r="U61" i="28" s="1"/>
  <c r="U65" i="28" s="1"/>
  <c r="P49" i="28"/>
  <c r="P55" i="28" s="1"/>
  <c r="P61" i="28" s="1"/>
  <c r="P65" i="28" s="1"/>
  <c r="N49" i="28"/>
  <c r="N55" i="28" s="1"/>
  <c r="N61" i="28" s="1"/>
  <c r="N65" i="28" s="1"/>
  <c r="L49" i="28"/>
  <c r="L55" i="28" s="1"/>
  <c r="L61" i="28" s="1"/>
  <c r="L65" i="28" s="1"/>
  <c r="M49" i="28"/>
  <c r="M55" i="28" s="1"/>
  <c r="M61" i="28" s="1"/>
  <c r="M65" i="28" s="1"/>
  <c r="Q49" i="28"/>
  <c r="Q55" i="28" s="1"/>
  <c r="Q61" i="28" s="1"/>
  <c r="Q65" i="28" s="1"/>
  <c r="O49" i="28"/>
  <c r="O55" i="28" s="1"/>
  <c r="O61" i="28" s="1"/>
  <c r="O65" i="28" s="1"/>
  <c r="H67" i="28" l="1"/>
  <c r="G20" i="32" s="1"/>
  <c r="H66" i="28"/>
  <c r="G19" i="32" s="1"/>
  <c r="J14" i="20" l="1"/>
  <c r="H19" i="20" s="1"/>
  <c r="H21" i="30" l="1"/>
  <c r="G27" i="32" s="1"/>
  <c r="H12" i="28" l="1"/>
  <c r="H69" i="28" s="1"/>
  <c r="H15" i="30" l="1"/>
  <c r="G21" i="32"/>
  <c r="H19" i="25"/>
  <c r="H20" i="25"/>
  <c r="H18" i="25"/>
  <c r="H16" i="25" l="1"/>
  <c r="H30" i="25" s="1"/>
  <c r="G16" i="32" s="1"/>
  <c r="H21" i="25" l="1"/>
  <c r="H12" i="30"/>
  <c r="H75" i="28" l="1"/>
  <c r="H16" i="30" s="1"/>
  <c r="B20" i="19"/>
  <c r="B27" i="19" s="1"/>
  <c r="H17" i="30" l="1"/>
  <c r="G22" i="32"/>
  <c r="G23" i="32" s="1"/>
  <c r="H20" i="30"/>
  <c r="B21" i="19"/>
  <c r="B22" i="19" s="1"/>
  <c r="B26" i="19" s="1"/>
  <c r="H22" i="30" l="1"/>
  <c r="G26" i="32"/>
  <c r="G28" i="32" l="1"/>
</calcChain>
</file>

<file path=xl/comments1.xml><?xml version="1.0" encoding="utf-8"?>
<comments xmlns="http://schemas.openxmlformats.org/spreadsheetml/2006/main">
  <authors>
    <author>Auteur</author>
  </authors>
  <commentList>
    <comment ref="B26"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<sst xmlns="http://schemas.openxmlformats.org/spreadsheetml/2006/main" count="350" uniqueCount="184">
  <si>
    <t>%</t>
  </si>
  <si>
    <t>kWh</t>
  </si>
  <si>
    <t>liters/kWh</t>
  </si>
  <si>
    <t>USD/liter</t>
  </si>
  <si>
    <t>USD/kWh</t>
  </si>
  <si>
    <t>Toelichting</t>
  </si>
  <si>
    <t>USD</t>
  </si>
  <si>
    <t>Hoort bij besluit(en):</t>
  </si>
  <si>
    <t>Kenmerk besluit(en)</t>
  </si>
  <si>
    <t>Resultaat</t>
  </si>
  <si>
    <t>Data</t>
  </si>
  <si>
    <t>Berekening</t>
  </si>
  <si>
    <t>Input --&gt;</t>
  </si>
  <si>
    <t>Data on production of electricity in 2017 (based on full year)</t>
  </si>
  <si>
    <t>Total expected production volume 2018</t>
  </si>
  <si>
    <t>Production price electricity excl fuel:</t>
  </si>
  <si>
    <t>Production yield based on fuel</t>
  </si>
  <si>
    <t>Price fuel</t>
  </si>
  <si>
    <t>Production price electriciy - fuel part</t>
  </si>
  <si>
    <t>Variable distribution tariff electricity 2018</t>
  </si>
  <si>
    <t>Network loss</t>
  </si>
  <si>
    <t>Tariffs a set for second half of 2017</t>
  </si>
  <si>
    <t>Production price electricity 2017</t>
  </si>
  <si>
    <t>Total expected production volume 2017</t>
  </si>
  <si>
    <t>Data on production of electricity in 2018</t>
  </si>
  <si>
    <t>Tariffs a set for 2018</t>
  </si>
  <si>
    <t>Production price electricity 2018</t>
  </si>
  <si>
    <t>Variable distribution tariff electricity 2017 (per july 1, 2017)</t>
  </si>
  <si>
    <t>Description calculation</t>
  </si>
  <si>
    <t>On this sheet ACM calculates the new production price for STUCO based on the most recent fuel invoice.</t>
  </si>
  <si>
    <t>Description</t>
  </si>
  <si>
    <t>Unit</t>
  </si>
  <si>
    <t>Constant</t>
  </si>
  <si>
    <t>Remarks</t>
  </si>
  <si>
    <t>Relevant data for calculation</t>
  </si>
  <si>
    <t>New estimation of production price per July 1, 2018</t>
  </si>
  <si>
    <t>Fuel price</t>
  </si>
  <si>
    <t>New estimated production price</t>
  </si>
  <si>
    <t>Data on production and fuel prices</t>
  </si>
  <si>
    <t>USD, price level 2017</t>
  </si>
  <si>
    <t>USD, price level 2018</t>
  </si>
  <si>
    <t>CPI</t>
  </si>
  <si>
    <t>CPI from 2017 to 2018</t>
  </si>
  <si>
    <t>Tariff decision for STUCO 2018, based on CBS data</t>
  </si>
  <si>
    <t>Estimation of production by STUCO for period July - December 2018</t>
  </si>
  <si>
    <t>Estimation total production by STUCO 2018</t>
  </si>
  <si>
    <t>No estimation by season, estimation is 50% of year total</t>
  </si>
  <si>
    <t>Source</t>
  </si>
  <si>
    <t>Remark</t>
  </si>
  <si>
    <t>Based on latest invoice</t>
  </si>
  <si>
    <t>Front Page</t>
  </si>
  <si>
    <t>About this document</t>
  </si>
  <si>
    <t xml:space="preserve">Case number </t>
  </si>
  <si>
    <t>Title</t>
  </si>
  <si>
    <t>Status of the document</t>
  </si>
  <si>
    <t>Final version?</t>
  </si>
  <si>
    <t>Explanatory notes</t>
  </si>
  <si>
    <t xml:space="preserve">Explanatory notes </t>
  </si>
  <si>
    <t>Explanation of the calculation</t>
  </si>
  <si>
    <t>1. The fuel component is updated, this means that the estimation used in the tariff decision in 2018 is updated to have the tariff match the actual fuel prices more closely</t>
  </si>
  <si>
    <t>For both above mentioned corrections, other values and parameters will remain as were determined in the tariffdecision for 2018</t>
  </si>
  <si>
    <t>Legend and use of cell colours and sheetcolours</t>
  </si>
  <si>
    <t>Cellcolours Numbers</t>
  </si>
  <si>
    <t xml:space="preserve">Description </t>
  </si>
  <si>
    <t xml:space="preserve">Data and input (please mention the source); for een information request, you have to fill this cell </t>
  </si>
  <si>
    <t>Value that is imported without calculation from another sheet</t>
  </si>
  <si>
    <t xml:space="preserve">Calculated value </t>
  </si>
  <si>
    <t>Calculated value that is used on another sheet, including the end result</t>
  </si>
  <si>
    <t xml:space="preserve">Cell is not applicible, however is used in a formula </t>
  </si>
  <si>
    <t>Specials</t>
  </si>
  <si>
    <t>Value or calculation that requires special attention</t>
  </si>
  <si>
    <t>Value or calculation that is not correct at the moment</t>
  </si>
  <si>
    <t xml:space="preserve">Sheet colours </t>
  </si>
  <si>
    <t>Sheets with results/output</t>
  </si>
  <si>
    <t>Sheets with input</t>
  </si>
  <si>
    <t>sheets wih calculations</t>
  </si>
  <si>
    <t xml:space="preserve">Sheet contains incorrect calculations or input or that is not up-to-date </t>
  </si>
  <si>
    <t xml:space="preserve">Empty sheet that is used as chapter marker </t>
  </si>
  <si>
    <t>Standardised sheets that contains general information</t>
  </si>
  <si>
    <t xml:space="preserve">Description result </t>
  </si>
  <si>
    <t xml:space="preserve">Calculation new variable distribution tariff </t>
  </si>
  <si>
    <t xml:space="preserve">Total amount to be corrected </t>
  </si>
  <si>
    <t>Estimated production volume for the period 1 July to 31 December 2018</t>
  </si>
  <si>
    <t xml:space="preserve">New estimation production price + correction for fuel price difference </t>
  </si>
  <si>
    <t>Below the two corrections form the new variable distribution tariff for STUCO in the period 1 July to 31 December 2018.</t>
  </si>
  <si>
    <t>New variable distribution tariff for the period 1 July to  31 December 2018 (incl corrections)</t>
  </si>
  <si>
    <t>Input data on production</t>
  </si>
  <si>
    <t xml:space="preserve">Description data </t>
  </si>
  <si>
    <t>In this sheet ACM imports the data from the tariff decision on 2017 and 2018</t>
  </si>
  <si>
    <t>Parameters on production and distribution STUCO (based on tariff decision 2017 and 2018)</t>
  </si>
  <si>
    <t xml:space="preserve">The monthly fuel prices are the basis for the correction for the fuelcomponent the tariffs and for the correction of the fuel price differences </t>
  </si>
  <si>
    <t xml:space="preserve">ACM corrects the tariffs for the period 1 July to 31 December 2018 for this difference in costs. </t>
  </si>
  <si>
    <t>Correction of fuel price differences</t>
  </si>
  <si>
    <t>Calculation for the correction of the variable distribution tariff for STUCO as of July 1, 2018</t>
  </si>
  <si>
    <t>Calculation for the tariffs of STUCO bv 2018, December 2017</t>
  </si>
  <si>
    <t>Marga Buys - Trimp</t>
  </si>
  <si>
    <t>marga.buys-trimp@acm.nl</t>
  </si>
  <si>
    <t>CaribischNederland@acm.nl</t>
  </si>
  <si>
    <t>00599 - 7810084</t>
  </si>
  <si>
    <t xml:space="preserve">The realised cost for STUCO for the second half of 2017 and the first half of 2018 deviated from the estimated  costs due to a difference in the fuel price.  </t>
  </si>
  <si>
    <t>This document contains the model that the Authority for Consumers &amp; Markets uses to calculate the adjustment of the variable distribution tarriff for electricity per 1 July 2018</t>
  </si>
  <si>
    <t xml:space="preserve">The variable distribution tariff is adapted by making two corrections: </t>
  </si>
  <si>
    <t>2. The difference between the realised fuel prices paid by STUCO and the estimation of the fuel prices for the second half of 2017 and the first half of 2018, will be corrected in the tarifff for july-december 2018</t>
  </si>
  <si>
    <t>Network losses</t>
  </si>
  <si>
    <t>Fuel costs STUCO per month</t>
  </si>
  <si>
    <t>And the production volumes of STUCO for 2017 and 2018</t>
  </si>
  <si>
    <t>Parameters on production volumes 2017 and 2018</t>
  </si>
  <si>
    <t>Rijtotaal</t>
  </si>
  <si>
    <t>Fuel production</t>
  </si>
  <si>
    <t>Solar production</t>
  </si>
  <si>
    <t>Expected production volume 2017</t>
  </si>
  <si>
    <t>Expected production volume 2018</t>
  </si>
  <si>
    <t>Estimation of production for period Jul - Dec 2018</t>
  </si>
  <si>
    <t>May 2017</t>
  </si>
  <si>
    <t>Jun 2017</t>
  </si>
  <si>
    <t>Jul 2017</t>
  </si>
  <si>
    <t>Aug 2017</t>
  </si>
  <si>
    <t>Sept 2017</t>
  </si>
  <si>
    <t>Oct 2017</t>
  </si>
  <si>
    <t>Nov 2017</t>
  </si>
  <si>
    <t>Dec 2017</t>
  </si>
  <si>
    <t>Feb 2018</t>
  </si>
  <si>
    <t>Jan 2018</t>
  </si>
  <si>
    <t>Mar 2018</t>
  </si>
  <si>
    <t>Apr 2018</t>
  </si>
  <si>
    <t>May 2018</t>
  </si>
  <si>
    <t>Monthly correction for fuel price difference</t>
  </si>
  <si>
    <t>Expected production volume 2017 by fuel</t>
  </si>
  <si>
    <t>Expected production volume 2017 by solar</t>
  </si>
  <si>
    <t>Expected production volume 2018 by fuel</t>
  </si>
  <si>
    <t>Expected production volume 2018 by solar</t>
  </si>
  <si>
    <t>Tariffs set for 2018</t>
  </si>
  <si>
    <t>Tariffs set for second half of 2017</t>
  </si>
  <si>
    <t>Actual fuel prices per month (weighted average)</t>
  </si>
  <si>
    <t>Fuel component in production price on T-2 basis</t>
  </si>
  <si>
    <t>Expected production volume by fuel</t>
  </si>
  <si>
    <t>Total expected production volume</t>
  </si>
  <si>
    <t>Production price based on monthly fuel component</t>
  </si>
  <si>
    <t>Calculation monthly production price</t>
  </si>
  <si>
    <t>Production price as set in tariff decision</t>
  </si>
  <si>
    <t>Difference in production price, based on fuel component</t>
  </si>
  <si>
    <t>Realised production volume (total)</t>
  </si>
  <si>
    <t>Actual production</t>
  </si>
  <si>
    <t>Solar production (jul-17 - apr-18): Email Fred Cuvalay May 28th 2018</t>
  </si>
  <si>
    <t xml:space="preserve">Solar production may 2018: </t>
  </si>
  <si>
    <t>Correction for fuel price difference for July - Dec 2017</t>
  </si>
  <si>
    <t>Correction for fuel price difference for Jan - May 2017</t>
  </si>
  <si>
    <t>Total correction for fuel price difference for July 2017 - May 2018</t>
  </si>
  <si>
    <t>USD, pl 2018</t>
  </si>
  <si>
    <t>Add-on per kWh for the fuel price difference</t>
  </si>
  <si>
    <t xml:space="preserve">Updated variable distribution tariff for electricity for STUCO for 1 July to 31 December 2018 </t>
  </si>
  <si>
    <t>Calculation of the production price Electricity for STUCO BV, December 2016</t>
  </si>
  <si>
    <t>Calculation of the distribution tariffs Electricity for STUCO BV, May 2017</t>
  </si>
  <si>
    <t>Input monthly fuel prices and volumes</t>
  </si>
  <si>
    <t>These fuel prices are calculated based on the weighted average of prices and volumes in daily fuel invoices</t>
  </si>
  <si>
    <t>Fuel price in latest invoice</t>
  </si>
  <si>
    <t>Estimated production volume by fuel 2018</t>
  </si>
  <si>
    <t>Estimated production volume by solar 2018</t>
  </si>
  <si>
    <t>Calculation correction for fuel price difference</t>
  </si>
  <si>
    <t>Separate calculation ACM: monthly fuel prices</t>
  </si>
  <si>
    <t>Calculation correction for fuel price difference in kWh</t>
  </si>
  <si>
    <t>Fuel production: email Fred Cuvalay June 1st 2018</t>
  </si>
  <si>
    <t>Email Fred Cuvalay June 5th</t>
  </si>
  <si>
    <t xml:space="preserve">Appendix 1 </t>
  </si>
  <si>
    <t>Key figures decision for variable distribution tariff for 1 July- 31 Dec 2018</t>
  </si>
  <si>
    <t xml:space="preserve">Key Parameters </t>
  </si>
  <si>
    <t>New Estimation production price</t>
  </si>
  <si>
    <t>Fuel price month May 2018</t>
  </si>
  <si>
    <t>USD/Liter</t>
  </si>
  <si>
    <t xml:space="preserve">Estimation New production price </t>
  </si>
  <si>
    <t xml:space="preserve">Amount to be corrected </t>
  </si>
  <si>
    <t>Correction Jul- dec 2017</t>
  </si>
  <si>
    <t>Correction Jan- may 2018</t>
  </si>
  <si>
    <t>Total correction</t>
  </si>
  <si>
    <t xml:space="preserve">Total production </t>
  </si>
  <si>
    <t xml:space="preserve">New variable distribution tariff </t>
  </si>
  <si>
    <t xml:space="preserve">New variable distribution tariff for the period 1 July to  31 December 2018 </t>
  </si>
  <si>
    <t>Yes</t>
  </si>
  <si>
    <t>Contact information ACM</t>
  </si>
  <si>
    <t>Invoice: June 10th 2018</t>
  </si>
  <si>
    <t>Most recent fuel price</t>
  </si>
  <si>
    <t>ACM/UIT/495885</t>
  </si>
  <si>
    <t>ACM/18/033307</t>
  </si>
  <si>
    <t>Beschikking tot vaststelling van het maximale variabele gebruikstarief van elektriciteit per 1 juli 2018 voor STUCO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</si>
</sst>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_(* #,##0.00_);_(* \(#,##0.00\);_(* &quot;-&quot;??_);_(@_)"/>
    <numFmt numFmtId="167" formatCode="_([$€]* #,##0.00_);_([$€]* \(#,##0.00\);_([$€]* &quot;-&quot;??_);_(@_)"/>
    <numFmt numFmtId="168" formatCode="_ * #,##0.0000_ ;_ * \-#,##0.0000_ ;_ * &quot;-&quot;??_ ;_ @_ "/>
    <numFmt numFmtId="169" formatCode="_ * #,##0_ ;_ * \-#,##0_ ;_ * &quot;-&quot;????_ ;_ @_ "/>
    <numFmt numFmtId="170" formatCode="0.0%"/>
    <numFmt numFmtId="171" formatCode="0.0000"/>
    <numFmt numFmtId="172" formatCode="[$-413]mmmm/yy;@"/>
  </numFmts>
  <fonts count="63">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name val="Arial"/>
      <family val="2"/>
    </font>
    <font>
      <sz val="10"/>
      <color indexed="8"/>
      <name val="MS Sans Serif"/>
      <family val="2"/>
    </font>
    <font>
      <sz val="10"/>
      <name val="Times New Roman"/>
      <family val="1"/>
    </font>
    <font>
      <sz val="8"/>
      <color indexed="81"/>
      <name val="Tahoma"/>
      <family val="2"/>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sz val="12"/>
      <name val="Times New Roman"/>
      <family val="1"/>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10"/>
      <color rgb="FF000000"/>
      <name val="Arial"/>
      <family val="2"/>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8"/>
      <name val="Arial"/>
      <family val="2"/>
    </font>
    <font>
      <b/>
      <sz val="14"/>
      <color theme="0"/>
      <name val="Arial"/>
      <family val="2"/>
    </font>
    <font>
      <b/>
      <sz val="10"/>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14"/>
      <name val="Arial"/>
      <family val="2"/>
    </font>
    <font>
      <i/>
      <sz val="10"/>
      <name val="Arial"/>
      <family val="2"/>
    </font>
    <font>
      <b/>
      <sz val="14"/>
      <color rgb="FFFF0000"/>
      <name val="Arial"/>
      <family val="2"/>
    </font>
    <font>
      <u/>
      <sz val="11"/>
      <color theme="10"/>
      <name val="Calibri"/>
      <family val="2"/>
      <scheme val="minor"/>
    </font>
    <font>
      <sz val="12"/>
      <color theme="1"/>
      <name val="Calibri"/>
      <family val="2"/>
    </font>
    <font>
      <sz val="11"/>
      <color theme="1"/>
      <name val="Calibri"/>
      <family val="2"/>
    </font>
    <font>
      <b/>
      <sz val="12"/>
      <color theme="1"/>
      <name val="Calibri"/>
      <family val="2"/>
    </font>
    <font>
      <b/>
      <sz val="12"/>
      <color rgb="FF000000"/>
      <name val="Calibri"/>
      <family val="2"/>
      <scheme val="minor"/>
    </font>
    <font>
      <u/>
      <sz val="10"/>
      <color theme="10"/>
      <name val="Arial"/>
      <family val="2"/>
    </font>
    <font>
      <sz val="9.5"/>
      <color theme="1"/>
      <name val="Arial"/>
      <family val="2"/>
    </font>
  </fonts>
  <fills count="4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rgb="FFFFCCFF"/>
        <bgColor indexed="64"/>
      </patternFill>
    </fill>
    <fill>
      <patternFill patternType="solid">
        <fgColor rgb="FFCCFFCC"/>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C99"/>
        <bgColor indexed="64"/>
      </patternFill>
    </fill>
    <fill>
      <patternFill patternType="solid">
        <fgColor theme="0" tint="-0.249977111117893"/>
        <bgColor indexed="64"/>
      </patternFill>
    </fill>
    <fill>
      <patternFill patternType="solid">
        <fgColor rgb="FF5F1F7A"/>
        <bgColor indexed="64"/>
      </patternFill>
    </fill>
    <fill>
      <patternFill patternType="solid">
        <fgColor rgb="FFADB2C9"/>
        <bgColor indexed="64"/>
      </patternFill>
    </fill>
    <fill>
      <patternFill patternType="solid">
        <fgColor rgb="FFCCC8D9"/>
        <bgColor indexed="64"/>
      </patternFill>
    </fill>
    <fill>
      <patternFill patternType="solid">
        <fgColor rgb="FFFF00FF"/>
        <bgColor indexed="64"/>
      </patternFill>
    </fill>
    <fill>
      <patternFill patternType="solid">
        <fgColor rgb="FF7030A0"/>
        <bgColor indexed="64"/>
      </patternFill>
    </fill>
    <fill>
      <patternFill patternType="solid">
        <fgColor indexed="43"/>
        <bgColor indexed="64"/>
      </patternFill>
    </fill>
    <fill>
      <patternFill patternType="solid">
        <fgColor indexed="14"/>
        <bgColor indexed="64"/>
      </patternFill>
    </fill>
    <fill>
      <patternFill patternType="solid">
        <fgColor theme="0" tint="-4.9989318521683403E-2"/>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5">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165" fontId="6"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8" fillId="10" borderId="0" applyNumberFormat="0" applyBorder="0" applyAlignment="0" applyProtection="0"/>
    <xf numFmtId="0" fontId="9" fillId="10" borderId="0" applyNumberFormat="0" applyBorder="0" applyAlignment="0" applyProtection="0"/>
    <xf numFmtId="0" fontId="8" fillId="11" borderId="0" applyNumberFormat="0" applyBorder="0" applyAlignment="0" applyProtection="0"/>
    <xf numFmtId="0" fontId="9"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13" borderId="0" applyNumberFormat="0" applyBorder="0" applyAlignment="0" applyProtection="0"/>
    <xf numFmtId="0" fontId="9" fillId="13" borderId="0" applyNumberFormat="0" applyBorder="0" applyAlignment="0" applyProtection="0"/>
    <xf numFmtId="0" fontId="8" fillId="14" borderId="0" applyNumberFormat="0" applyBorder="0" applyAlignment="0" applyProtection="0"/>
    <xf numFmtId="0" fontId="9" fillId="14" borderId="0" applyNumberFormat="0" applyBorder="0" applyAlignment="0" applyProtection="0"/>
    <xf numFmtId="0" fontId="8" fillId="15"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8" borderId="0" applyNumberFormat="0" applyBorder="0" applyAlignment="0" applyProtection="0"/>
    <xf numFmtId="0" fontId="9" fillId="18" borderId="0" applyNumberFormat="0" applyBorder="0" applyAlignment="0" applyProtection="0"/>
    <xf numFmtId="0" fontId="8" fillId="13" borderId="0" applyNumberFormat="0" applyBorder="0" applyAlignment="0" applyProtection="0"/>
    <xf numFmtId="0" fontId="9" fillId="13"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8" fillId="19"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0" borderId="0" applyNumberFormat="0" applyBorder="0" applyAlignment="0" applyProtection="0"/>
    <xf numFmtId="0" fontId="10" fillId="17" borderId="0" applyNumberFormat="0" applyBorder="0" applyAlignment="0" applyProtection="0"/>
    <xf numFmtId="0" fontId="11" fillId="17" borderId="0" applyNumberFormat="0" applyBorder="0" applyAlignment="0" applyProtection="0"/>
    <xf numFmtId="0" fontId="10" fillId="18" borderId="0" applyNumberFormat="0" applyBorder="0" applyAlignment="0" applyProtection="0"/>
    <xf numFmtId="0" fontId="11" fillId="18" borderId="0" applyNumberFormat="0" applyBorder="0" applyAlignment="0" applyProtection="0"/>
    <xf numFmtId="0" fontId="10" fillId="21" borderId="0" applyNumberFormat="0" applyBorder="0" applyAlignment="0" applyProtection="0"/>
    <xf numFmtId="0" fontId="11" fillId="21"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0" fillId="21" borderId="0" applyNumberFormat="0" applyBorder="0" applyAlignment="0" applyProtection="0"/>
    <xf numFmtId="0" fontId="11" fillId="21"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4" fillId="28" borderId="3" applyNumberFormat="0" applyAlignment="0" applyProtection="0"/>
    <xf numFmtId="0" fontId="14" fillId="28" borderId="3" applyNumberFormat="0" applyAlignment="0" applyProtection="0"/>
    <xf numFmtId="0" fontId="15" fillId="28" borderId="3" applyNumberFormat="0" applyAlignment="0" applyProtection="0"/>
    <xf numFmtId="0" fontId="16" fillId="29" borderId="4" applyNumberFormat="0" applyAlignment="0" applyProtection="0"/>
    <xf numFmtId="0" fontId="17" fillId="29" borderId="4" applyNumberFormat="0" applyAlignment="0" applyProtection="0"/>
    <xf numFmtId="166" fontId="18" fillId="0" borderId="0" applyFont="0" applyFill="0" applyBorder="0" applyAlignment="0" applyProtection="0"/>
    <xf numFmtId="0" fontId="16" fillId="29" borderId="4" applyNumberFormat="0" applyAlignment="0" applyProtection="0"/>
    <xf numFmtId="167" fontId="4" fillId="0" borderId="0" applyFont="0" applyFill="0" applyBorder="0" applyAlignment="0" applyProtection="0"/>
    <xf numFmtId="167" fontId="4"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12"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4" fillId="0" borderId="0"/>
    <xf numFmtId="0" fontId="25" fillId="0" borderId="6"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30"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15" borderId="3" applyNumberFormat="0" applyAlignment="0" applyProtection="0"/>
    <xf numFmtId="0" fontId="32" fillId="15" borderId="3" applyNumberFormat="0" applyAlignment="0" applyProtection="0"/>
    <xf numFmtId="0" fontId="31" fillId="15" borderId="3"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0" fontId="25" fillId="0" borderId="6" applyNumberFormat="0" applyFill="0" applyAlignment="0" applyProtection="0"/>
    <xf numFmtId="0" fontId="27"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1" fillId="0" borderId="5" applyNumberFormat="0" applyFill="0" applyAlignment="0" applyProtection="0"/>
    <xf numFmtId="0" fontId="33" fillId="0" borderId="5" applyNumberFormat="0" applyFill="0" applyAlignment="0" applyProtection="0"/>
    <xf numFmtId="0" fontId="34" fillId="30" borderId="0" applyNumberFormat="0" applyBorder="0" applyAlignment="0" applyProtection="0"/>
    <xf numFmtId="0" fontId="34" fillId="30" borderId="0" applyNumberFormat="0" applyBorder="0" applyAlignment="0" applyProtection="0"/>
    <xf numFmtId="0" fontId="35" fillId="30" borderId="0" applyNumberFormat="0" applyBorder="0" applyAlignment="0" applyProtection="0"/>
    <xf numFmtId="0" fontId="36" fillId="0" borderId="0"/>
    <xf numFmtId="0" fontId="37" fillId="0" borderId="0"/>
    <xf numFmtId="0" fontId="4" fillId="31" borderId="9" applyNumberFormat="0" applyFont="0" applyAlignment="0" applyProtection="0"/>
    <xf numFmtId="0" fontId="18" fillId="31" borderId="9" applyNumberFormat="0" applyFont="0" applyAlignment="0" applyProtection="0"/>
    <xf numFmtId="0" fontId="4" fillId="31" borderId="9" applyNumberFormat="0" applyFont="0" applyAlignment="0" applyProtection="0"/>
    <xf numFmtId="0" fontId="12" fillId="11" borderId="0" applyNumberFormat="0" applyBorder="0" applyAlignment="0" applyProtection="0"/>
    <xf numFmtId="0" fontId="38" fillId="28" borderId="10" applyNumberFormat="0" applyAlignment="0" applyProtection="0"/>
    <xf numFmtId="0" fontId="39" fillId="28" borderId="10" applyNumberFormat="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40" fillId="0" borderId="0"/>
    <xf numFmtId="0" fontId="40" fillId="0" borderId="0"/>
    <xf numFmtId="0" fontId="4" fillId="0" borderId="0"/>
    <xf numFmtId="0" fontId="4" fillId="0" borderId="0"/>
    <xf numFmtId="0" fontId="4" fillId="0" borderId="0"/>
    <xf numFmtId="0" fontId="4" fillId="0" borderId="0" applyFill="0"/>
    <xf numFmtId="0" fontId="3"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2" fillId="0" borderId="11" applyNumberFormat="0" applyFill="0" applyAlignment="0" applyProtection="0"/>
    <xf numFmtId="0" fontId="43" fillId="0" borderId="11" applyNumberFormat="0" applyFill="0" applyAlignment="0" applyProtection="0"/>
    <xf numFmtId="0" fontId="38" fillId="28" borderId="10" applyNumberFormat="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Border="0" applyAlignment="0" applyProtection="0"/>
    <xf numFmtId="0" fontId="4" fillId="0" borderId="0"/>
    <xf numFmtId="0" fontId="4" fillId="0" borderId="0"/>
    <xf numFmtId="44" fontId="4" fillId="0" borderId="0" applyFont="0" applyFill="0" applyBorder="0" applyAlignment="0" applyProtection="0"/>
    <xf numFmtId="49" fontId="47" fillId="34" borderId="1">
      <alignment vertical="top"/>
    </xf>
    <xf numFmtId="49" fontId="48" fillId="35" borderId="1">
      <alignment vertical="top"/>
    </xf>
    <xf numFmtId="0" fontId="4" fillId="0" borderId="0">
      <alignment vertical="top"/>
    </xf>
    <xf numFmtId="49" fontId="48" fillId="36" borderId="1">
      <alignment vertical="top"/>
    </xf>
    <xf numFmtId="49" fontId="48" fillId="0" borderId="0">
      <alignment vertical="top"/>
    </xf>
    <xf numFmtId="43" fontId="4" fillId="9" borderId="0">
      <alignment vertical="top"/>
    </xf>
    <xf numFmtId="43" fontId="4" fillId="3" borderId="0">
      <alignment vertical="top"/>
    </xf>
    <xf numFmtId="43" fontId="4" fillId="7" borderId="0">
      <alignment vertical="top"/>
    </xf>
    <xf numFmtId="43" fontId="4" fillId="8" borderId="0">
      <alignment vertical="top"/>
    </xf>
    <xf numFmtId="43" fontId="4" fillId="37" borderId="0">
      <alignment vertical="top"/>
    </xf>
    <xf numFmtId="43" fontId="4" fillId="32" borderId="0">
      <alignment vertical="top"/>
    </xf>
    <xf numFmtId="49" fontId="52" fillId="0" borderId="0">
      <alignment vertical="top"/>
    </xf>
    <xf numFmtId="49" fontId="54" fillId="0" borderId="0">
      <alignment vertical="top"/>
    </xf>
    <xf numFmtId="0" fontId="56" fillId="0" borderId="0" applyNumberFormat="0" applyFill="0" applyBorder="0" applyAlignment="0" applyProtection="0"/>
    <xf numFmtId="166" fontId="4" fillId="0" borderId="0" applyFont="0" applyFill="0" applyBorder="0" applyAlignment="0" applyProtection="0"/>
    <xf numFmtId="0" fontId="4" fillId="0" borderId="0"/>
  </cellStyleXfs>
  <cellXfs count="91">
    <xf numFmtId="0" fontId="0" fillId="0" borderId="0" xfId="0"/>
    <xf numFmtId="0" fontId="0" fillId="33" borderId="0" xfId="0" applyFill="1"/>
    <xf numFmtId="49" fontId="47" fillId="34" borderId="1" xfId="139" applyFont="1">
      <alignment vertical="top"/>
    </xf>
    <xf numFmtId="0" fontId="49" fillId="0" borderId="0" xfId="0" applyFont="1"/>
    <xf numFmtId="0" fontId="50" fillId="0" borderId="0" xfId="0" applyFont="1"/>
    <xf numFmtId="0" fontId="47" fillId="34" borderId="1" xfId="141" applyFont="1" applyFill="1" applyBorder="1">
      <alignment vertical="top"/>
    </xf>
    <xf numFmtId="0" fontId="53" fillId="34" borderId="1" xfId="141" applyFont="1" applyFill="1" applyBorder="1">
      <alignment vertical="top"/>
    </xf>
    <xf numFmtId="0" fontId="4" fillId="0" borderId="0" xfId="141" applyFont="1">
      <alignment vertical="top"/>
    </xf>
    <xf numFmtId="0" fontId="4" fillId="0" borderId="0" xfId="141">
      <alignment vertical="top"/>
    </xf>
    <xf numFmtId="49" fontId="48" fillId="36" borderId="1" xfId="142">
      <alignment vertical="top"/>
    </xf>
    <xf numFmtId="0" fontId="4" fillId="0" borderId="0" xfId="141" applyFill="1">
      <alignment vertical="top"/>
    </xf>
    <xf numFmtId="0" fontId="4" fillId="0" borderId="2" xfId="141" applyFont="1" applyBorder="1" applyAlignment="1">
      <alignment horizontal="left" vertical="top" wrapText="1"/>
    </xf>
    <xf numFmtId="0" fontId="4" fillId="0" borderId="2" xfId="141" applyBorder="1" applyAlignment="1">
      <alignment horizontal="left" vertical="top" wrapText="1"/>
    </xf>
    <xf numFmtId="0" fontId="52" fillId="0" borderId="0" xfId="141" applyFont="1">
      <alignment vertical="top"/>
    </xf>
    <xf numFmtId="0" fontId="47" fillId="38" borderId="1" xfId="141" applyFont="1" applyFill="1" applyBorder="1">
      <alignment vertical="top"/>
    </xf>
    <xf numFmtId="0" fontId="53" fillId="38" borderId="1" xfId="141" applyFont="1" applyFill="1" applyBorder="1">
      <alignment vertical="top"/>
    </xf>
    <xf numFmtId="0" fontId="55" fillId="38" borderId="1" xfId="141" applyFont="1" applyFill="1" applyBorder="1">
      <alignment vertical="top"/>
    </xf>
    <xf numFmtId="0" fontId="48" fillId="0" borderId="0" xfId="141" applyFont="1">
      <alignment vertical="top"/>
    </xf>
    <xf numFmtId="0" fontId="52" fillId="0" borderId="0" xfId="141" applyFont="1" applyFill="1">
      <alignment vertical="top"/>
    </xf>
    <xf numFmtId="0" fontId="4" fillId="4" borderId="0" xfId="141" applyFill="1">
      <alignment vertical="top"/>
    </xf>
    <xf numFmtId="0" fontId="4" fillId="5" borderId="0" xfId="141" applyFill="1">
      <alignment vertical="top"/>
    </xf>
    <xf numFmtId="0" fontId="4" fillId="39" borderId="0" xfId="141" applyFill="1">
      <alignment vertical="top"/>
    </xf>
    <xf numFmtId="0" fontId="4" fillId="6" borderId="0" xfId="141" applyFill="1">
      <alignment vertical="top"/>
    </xf>
    <xf numFmtId="0" fontId="4" fillId="2" borderId="0" xfId="141" applyFill="1">
      <alignment vertical="top"/>
    </xf>
    <xf numFmtId="0" fontId="54" fillId="0" borderId="0" xfId="141" applyFont="1" applyFill="1">
      <alignment vertical="top"/>
    </xf>
    <xf numFmtId="1" fontId="4" fillId="7" borderId="0" xfId="141" applyNumberFormat="1" applyFill="1">
      <alignment vertical="top"/>
    </xf>
    <xf numFmtId="2" fontId="4" fillId="40" borderId="0" xfId="141" applyNumberFormat="1" applyFill="1">
      <alignment vertical="top"/>
    </xf>
    <xf numFmtId="1" fontId="4" fillId="0" borderId="0" xfId="141" applyNumberFormat="1" applyFill="1">
      <alignment vertical="top"/>
    </xf>
    <xf numFmtId="0" fontId="54" fillId="0" borderId="0" xfId="141" applyFont="1">
      <alignment vertical="top"/>
    </xf>
    <xf numFmtId="0" fontId="4" fillId="6" borderId="0" xfId="141" applyFont="1" applyFill="1">
      <alignment vertical="top"/>
    </xf>
    <xf numFmtId="0" fontId="4" fillId="4" borderId="0" xfId="141" applyFont="1" applyFill="1">
      <alignment vertical="top"/>
    </xf>
    <xf numFmtId="0" fontId="4" fillId="39" borderId="0" xfId="141" applyFont="1" applyFill="1">
      <alignment vertical="top"/>
    </xf>
    <xf numFmtId="0" fontId="4" fillId="41" borderId="0" xfId="141" applyFill="1">
      <alignment vertical="top"/>
    </xf>
    <xf numFmtId="49" fontId="4" fillId="36" borderId="0" xfId="142" applyFont="1" applyBorder="1">
      <alignment vertical="top"/>
    </xf>
    <xf numFmtId="0" fontId="2" fillId="0" borderId="0" xfId="0" applyFont="1"/>
    <xf numFmtId="0" fontId="51" fillId="0" borderId="0" xfId="141" applyFont="1">
      <alignment vertical="top"/>
    </xf>
    <xf numFmtId="0" fontId="47" fillId="34" borderId="1" xfId="139" applyNumberFormat="1">
      <alignment vertical="top"/>
    </xf>
    <xf numFmtId="49" fontId="48" fillId="36" borderId="1" xfId="142" applyFont="1">
      <alignment vertical="top"/>
    </xf>
    <xf numFmtId="164" fontId="4" fillId="32" borderId="0" xfId="149" applyNumberFormat="1">
      <alignment vertical="top"/>
    </xf>
    <xf numFmtId="168" fontId="4" fillId="32" borderId="0" xfId="149" applyNumberFormat="1">
      <alignment vertical="top"/>
    </xf>
    <xf numFmtId="10" fontId="4" fillId="32" borderId="0" xfId="2" applyNumberFormat="1" applyFont="1" applyFill="1" applyAlignment="1">
      <alignment vertical="top"/>
    </xf>
    <xf numFmtId="168" fontId="4" fillId="3" borderId="0" xfId="1" applyNumberFormat="1" applyFont="1" applyFill="1" applyAlignment="1">
      <alignment vertical="top"/>
    </xf>
    <xf numFmtId="168" fontId="4" fillId="9" borderId="0" xfId="1" applyNumberFormat="1" applyFont="1" applyFill="1" applyAlignment="1">
      <alignment vertical="top"/>
    </xf>
    <xf numFmtId="168" fontId="4" fillId="32" borderId="0" xfId="1" applyNumberFormat="1" applyFont="1" applyFill="1" applyAlignment="1">
      <alignment vertical="top"/>
    </xf>
    <xf numFmtId="169" fontId="4" fillId="9" borderId="0" xfId="141" applyNumberFormat="1" applyFill="1">
      <alignment vertical="top"/>
    </xf>
    <xf numFmtId="164" fontId="4" fillId="32" borderId="0" xfId="1" applyNumberFormat="1" applyFont="1" applyFill="1" applyAlignment="1">
      <alignment vertical="top"/>
    </xf>
    <xf numFmtId="168" fontId="4" fillId="8" borderId="0" xfId="147" applyNumberFormat="1">
      <alignment vertical="top"/>
    </xf>
    <xf numFmtId="164" fontId="4" fillId="8" borderId="0" xfId="147" applyNumberFormat="1">
      <alignment vertical="top"/>
    </xf>
    <xf numFmtId="164" fontId="4" fillId="3" borderId="0" xfId="145" applyNumberFormat="1">
      <alignment vertical="top"/>
    </xf>
    <xf numFmtId="168" fontId="4" fillId="3" borderId="0" xfId="145" applyNumberFormat="1">
      <alignment vertical="top"/>
    </xf>
    <xf numFmtId="170" fontId="4" fillId="8" borderId="0" xfId="2" applyNumberFormat="1" applyFont="1" applyFill="1" applyAlignment="1">
      <alignment vertical="top"/>
    </xf>
    <xf numFmtId="170" fontId="4" fillId="32" borderId="0" xfId="2" applyNumberFormat="1" applyFont="1" applyFill="1" applyAlignment="1">
      <alignment vertical="top"/>
    </xf>
    <xf numFmtId="164" fontId="4" fillId="3" borderId="0" xfId="1" applyNumberFormat="1" applyFont="1" applyFill="1" applyAlignment="1">
      <alignment vertical="top"/>
    </xf>
    <xf numFmtId="0" fontId="1" fillId="0" borderId="0" xfId="0" applyFont="1"/>
    <xf numFmtId="0" fontId="4" fillId="0" borderId="0" xfId="141" applyFill="1" applyAlignment="1">
      <alignment horizontal="left" vertical="top"/>
    </xf>
    <xf numFmtId="17" fontId="4" fillId="0" borderId="0" xfId="141" quotePrefix="1" applyNumberFormat="1" applyFill="1" applyAlignment="1">
      <alignment horizontal="left" vertical="top"/>
    </xf>
    <xf numFmtId="0" fontId="4" fillId="0" borderId="0" xfId="141" quotePrefix="1" applyFill="1" applyAlignment="1">
      <alignment horizontal="left" vertical="top"/>
    </xf>
    <xf numFmtId="171" fontId="4" fillId="8" borderId="0" xfId="141" applyNumberFormat="1" applyFill="1">
      <alignment vertical="top"/>
    </xf>
    <xf numFmtId="17" fontId="4" fillId="0" borderId="0" xfId="141" applyNumberFormat="1">
      <alignment vertical="top"/>
    </xf>
    <xf numFmtId="3" fontId="4" fillId="8" borderId="0" xfId="141" applyNumberFormat="1" applyFill="1">
      <alignment vertical="top"/>
    </xf>
    <xf numFmtId="0" fontId="57" fillId="0" borderId="0" xfId="0" applyFont="1" applyAlignment="1">
      <alignment vertical="center"/>
    </xf>
    <xf numFmtId="172" fontId="4" fillId="0" borderId="0" xfId="141" applyNumberFormat="1" applyAlignment="1">
      <alignment horizontal="left" vertical="top"/>
    </xf>
    <xf numFmtId="168" fontId="4" fillId="32" borderId="0" xfId="141" applyNumberFormat="1" applyFill="1">
      <alignment vertical="top"/>
    </xf>
    <xf numFmtId="169" fontId="4" fillId="3" borderId="0" xfId="141" applyNumberFormat="1" applyFill="1">
      <alignment vertical="top"/>
    </xf>
    <xf numFmtId="168" fontId="4" fillId="3" borderId="0" xfId="141" applyNumberFormat="1" applyFill="1">
      <alignment vertical="top"/>
    </xf>
    <xf numFmtId="164" fontId="4" fillId="32" borderId="0" xfId="141" applyNumberFormat="1" applyFill="1">
      <alignment vertical="top"/>
    </xf>
    <xf numFmtId="168" fontId="4" fillId="0" borderId="0" xfId="141" applyNumberFormat="1" applyFill="1">
      <alignment vertical="top"/>
    </xf>
    <xf numFmtId="168" fontId="4" fillId="8" borderId="0" xfId="148" applyNumberFormat="1" applyFill="1">
      <alignment vertical="top"/>
    </xf>
    <xf numFmtId="0" fontId="58" fillId="0" borderId="0" xfId="0" applyFont="1" applyAlignment="1">
      <alignment vertical="center"/>
    </xf>
    <xf numFmtId="0" fontId="59" fillId="0" borderId="0" xfId="0" applyFont="1" applyAlignment="1">
      <alignment vertical="center"/>
    </xf>
    <xf numFmtId="0" fontId="60" fillId="0" borderId="0" xfId="0" applyFont="1"/>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xf numFmtId="0" fontId="1" fillId="0" borderId="0" xfId="0" applyFont="1" applyBorder="1"/>
    <xf numFmtId="0" fontId="1" fillId="0" borderId="18" xfId="0" applyFont="1" applyBorder="1"/>
    <xf numFmtId="49" fontId="48" fillId="36" borderId="12" xfId="142" applyBorder="1">
      <alignment vertical="top"/>
    </xf>
    <xf numFmtId="49" fontId="48" fillId="36" borderId="1" xfId="142" applyBorder="1">
      <alignment vertical="top"/>
    </xf>
    <xf numFmtId="49" fontId="48" fillId="36" borderId="13" xfId="142" applyBorder="1">
      <alignment vertical="top"/>
    </xf>
    <xf numFmtId="0" fontId="50" fillId="0" borderId="0" xfId="0" applyFont="1" applyBorder="1"/>
    <xf numFmtId="170" fontId="1" fillId="41" borderId="0" xfId="2" applyNumberFormat="1" applyFont="1" applyFill="1" applyBorder="1"/>
    <xf numFmtId="168" fontId="1" fillId="41" borderId="0" xfId="1" applyNumberFormat="1" applyFont="1" applyFill="1" applyBorder="1"/>
    <xf numFmtId="164" fontId="1" fillId="41" borderId="0" xfId="1" applyNumberFormat="1" applyFont="1" applyFill="1" applyBorder="1"/>
    <xf numFmtId="0" fontId="4" fillId="0" borderId="0" xfId="141" applyBorder="1">
      <alignment vertical="top"/>
    </xf>
    <xf numFmtId="10" fontId="1" fillId="41" borderId="0" xfId="0" applyNumberFormat="1" applyFont="1" applyFill="1" applyBorder="1"/>
    <xf numFmtId="0" fontId="1" fillId="0" borderId="19" xfId="0" applyFont="1" applyBorder="1"/>
    <xf numFmtId="0" fontId="1" fillId="0" borderId="20" xfId="0" applyFont="1" applyBorder="1"/>
    <xf numFmtId="0" fontId="1" fillId="0" borderId="21" xfId="0" applyFont="1" applyBorder="1"/>
    <xf numFmtId="0" fontId="61" fillId="0" borderId="0" xfId="152" applyFont="1" applyAlignment="1">
      <alignment vertical="top"/>
    </xf>
    <xf numFmtId="0" fontId="62" fillId="0" borderId="0" xfId="0" applyFont="1"/>
  </cellXfs>
  <cellStyles count="155">
    <cellStyle name="_x000d__x000a_JournalTemplate=C:\COMFO\CTALK\JOURSTD.TPL_x000d__x000a_LbStateAddress=3 3 0 251 1 89 2 311_x000d__x000a_LbStateJou" xfId="6"/>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8"/>
    <cellStyle name="_x000d__x000a_JournalTemplate=C:\COMFO\CTALK\JOURSTD.TPL_x000d__x000a_LbStateAddress=3 3 0 251 1 89 2 311_x000d__x000a_LbStateJou 3" xfId="9"/>
    <cellStyle name="_x000d__x000a_JournalTemplate=C:\COMFO\CTALK\JOURSTD.TPL_x000d__x000a_LbStateAddress=3 3 0 251 1 89 2 311_x000d__x000a_LbStateJou 4" xfId="10"/>
    <cellStyle name="_x000d__x000a_JournalTemplate=C:\COMFO\CTALK\JOURSTD.TPL_x000d__x000a_LbStateAddress=3 3 0 251 1 89 2 311_x000d__x000a_LbStateJou_100720 berekening x-factoren NG4R v4.2" xfId="11"/>
    <cellStyle name="_kop1 Bladtitel" xfId="139"/>
    <cellStyle name="_kop2 Bloktitel" xfId="140"/>
    <cellStyle name="_kop2 Bloktitel 2" xfId="142"/>
    <cellStyle name="_kop3 Subkop" xfId="143"/>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Bad" xfId="60"/>
    <cellStyle name="Bad 2" xfId="61"/>
    <cellStyle name="Berekening 2" xfId="62"/>
    <cellStyle name="Calculation" xfId="63"/>
    <cellStyle name="Calculation 2" xfId="64"/>
    <cellStyle name="Cel (tussen)resultaat" xfId="144"/>
    <cellStyle name="Cel Berekening" xfId="145"/>
    <cellStyle name="Cel Bijzonderheid" xfId="146"/>
    <cellStyle name="Cel Input" xfId="147"/>
    <cellStyle name="Cel PM extern" xfId="148"/>
    <cellStyle name="Cel Verwijzing" xfId="149"/>
    <cellStyle name="Check Cell" xfId="65"/>
    <cellStyle name="Check Cell 2" xfId="66"/>
    <cellStyle name="Comma 2" xfId="67"/>
    <cellStyle name="Comma 3" xfId="4"/>
    <cellStyle name="Controlecel 2" xfId="68"/>
    <cellStyle name="Euro" xfId="69"/>
    <cellStyle name="Euro 2" xfId="70"/>
    <cellStyle name="Explanatory Text" xfId="71"/>
    <cellStyle name="Explanatory Text 2" xfId="72"/>
    <cellStyle name="Gekoppelde cel 2" xfId="73"/>
    <cellStyle name="Goed 2" xfId="74"/>
    <cellStyle name="Good" xfId="75"/>
    <cellStyle name="Good 2" xfId="76"/>
    <cellStyle name="Header" xfId="77"/>
    <cellStyle name="Heading 1" xfId="78"/>
    <cellStyle name="Heading 1 2" xfId="79"/>
    <cellStyle name="Heading 2" xfId="80"/>
    <cellStyle name="Heading 2 2" xfId="81"/>
    <cellStyle name="Heading 3" xfId="82"/>
    <cellStyle name="Heading 3 2" xfId="83"/>
    <cellStyle name="Heading 4" xfId="84"/>
    <cellStyle name="Heading 4 2" xfId="85"/>
    <cellStyle name="Hyperlink" xfId="152" builtinId="8"/>
    <cellStyle name="Input" xfId="86"/>
    <cellStyle name="Input 2" xfId="87"/>
    <cellStyle name="Invoer 2" xfId="88"/>
    <cellStyle name="Komma" xfId="1" builtinId="3"/>
    <cellStyle name="Komma 14 2" xfId="89"/>
    <cellStyle name="Komma 2" xfId="90"/>
    <cellStyle name="Komma 2 2" xfId="91"/>
    <cellStyle name="Komma 2 3" xfId="92"/>
    <cellStyle name="Komma 3" xfId="93"/>
    <cellStyle name="Komma 3 2" xfId="94"/>
    <cellStyle name="Komma 4" xfId="95"/>
    <cellStyle name="Komma 5" xfId="96"/>
    <cellStyle name="Komma 6" xfId="153"/>
    <cellStyle name="Kop 1 2" xfId="97"/>
    <cellStyle name="Kop 2 2" xfId="98"/>
    <cellStyle name="Kop 3 2" xfId="99"/>
    <cellStyle name="Kop 4 2" xfId="100"/>
    <cellStyle name="Linked Cell" xfId="101"/>
    <cellStyle name="Linked Cell 2" xfId="102"/>
    <cellStyle name="Neutraal 2" xfId="103"/>
    <cellStyle name="Neutral" xfId="104"/>
    <cellStyle name="Neutral 2" xfId="105"/>
    <cellStyle name="Normal 14" xfId="136"/>
    <cellStyle name="Normal 2" xfId="106"/>
    <cellStyle name="Normal 3" xfId="5"/>
    <cellStyle name="Normal_# klanten" xfId="107"/>
    <cellStyle name="Note" xfId="108"/>
    <cellStyle name="Note 2" xfId="109"/>
    <cellStyle name="Notitie 2" xfId="110"/>
    <cellStyle name="Ongeldig 2" xfId="111"/>
    <cellStyle name="Opm. INTERN" xfId="150"/>
    <cellStyle name="Output" xfId="112"/>
    <cellStyle name="Output 2" xfId="113"/>
    <cellStyle name="Procent" xfId="2" builtinId="5"/>
    <cellStyle name="Procent 2" xfId="114"/>
    <cellStyle name="Procent 3" xfId="115"/>
    <cellStyle name="Procent 4" xfId="116"/>
    <cellStyle name="Standaard" xfId="0" builtinId="0"/>
    <cellStyle name="Standaard 2" xfId="117"/>
    <cellStyle name="Standaard 2 2" xfId="118"/>
    <cellStyle name="Standaard 2 3" xfId="119"/>
    <cellStyle name="Standaard 2 4" xfId="120"/>
    <cellStyle name="Standaard 3" xfId="121"/>
    <cellStyle name="Standaard 3 2" xfId="137"/>
    <cellStyle name="Standaard 4" xfId="122"/>
    <cellStyle name="Standaard 5" xfId="123"/>
    <cellStyle name="Standaard 6" xfId="3"/>
    <cellStyle name="Standaard 7" xfId="154"/>
    <cellStyle name="Standaard ACM-DE" xfId="141"/>
    <cellStyle name="Titel 2" xfId="124"/>
    <cellStyle name="Title" xfId="125"/>
    <cellStyle name="Title 2" xfId="126"/>
    <cellStyle name="Toelichting" xfId="151"/>
    <cellStyle name="Totaal 2" xfId="127"/>
    <cellStyle name="Total" xfId="128"/>
    <cellStyle name="Total 2" xfId="129"/>
    <cellStyle name="Uitvoer 2" xfId="130"/>
    <cellStyle name="Valuta 2" xfId="138"/>
    <cellStyle name="Verklarende tekst 2" xfId="131"/>
    <cellStyle name="Waarschuwingstekst 2" xfId="132"/>
    <cellStyle name="Warning Text" xfId="133"/>
    <cellStyle name="Warning Text 2" xfId="134"/>
    <cellStyle name="WIt" xfId="135"/>
  </cellStyles>
  <dxfs count="0"/>
  <tableStyles count="0" defaultTableStyle="TableStyleMedium2" defaultPivotStyle="PivotStyleMedium9"/>
  <colors>
    <mruColors>
      <color rgb="FFCCFFFF"/>
      <color rgb="FFCCFFCC"/>
      <color rgb="FFFF66CC"/>
      <color rgb="FFFF00FF"/>
      <color rgb="FFFFCC99"/>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ibischNederland@acm.nl" TargetMode="External"/><Relationship Id="rId1" Type="http://schemas.openxmlformats.org/officeDocument/2006/relationships/hyperlink" Target="mailto:marga.buys-trimp@acm.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G29"/>
  <sheetViews>
    <sheetView showGridLines="0" tabSelected="1" zoomScale="85" zoomScaleNormal="85" workbookViewId="0">
      <pane ySplit="3" topLeftCell="A4" activePane="bottomLeft" state="frozen"/>
      <selection activeCell="A4" sqref="A4"/>
      <selection pane="bottomLeft"/>
    </sheetView>
  </sheetViews>
  <sheetFormatPr defaultRowHeight="12.75"/>
  <cols>
    <col min="1" max="1" width="2.85546875" style="8" customWidth="1"/>
    <col min="2" max="2" width="39.85546875" style="8" customWidth="1"/>
    <col min="3" max="3" width="91.85546875" style="8" customWidth="1"/>
    <col min="4" max="16384" width="9.140625" style="8"/>
  </cols>
  <sheetData>
    <row r="2" spans="2:7" s="6" customFormat="1" ht="18">
      <c r="B2" s="5" t="s">
        <v>50</v>
      </c>
    </row>
    <row r="6" spans="2:7">
      <c r="B6" s="7"/>
    </row>
    <row r="13" spans="2:7" s="9" customFormat="1">
      <c r="B13" s="9" t="s">
        <v>51</v>
      </c>
    </row>
    <row r="14" spans="2:7" s="10" customFormat="1"/>
    <row r="15" spans="2:7">
      <c r="B15" s="11" t="s">
        <v>52</v>
      </c>
      <c r="C15" s="11" t="s">
        <v>182</v>
      </c>
      <c r="G15" s="90"/>
    </row>
    <row r="16" spans="2:7">
      <c r="B16" s="11" t="s">
        <v>53</v>
      </c>
      <c r="C16" s="11" t="s">
        <v>93</v>
      </c>
      <c r="G16" s="90"/>
    </row>
    <row r="17" spans="2:7" ht="25.5">
      <c r="B17" s="11" t="s">
        <v>7</v>
      </c>
      <c r="C17" s="11" t="s">
        <v>183</v>
      </c>
      <c r="G17" s="90"/>
    </row>
    <row r="18" spans="2:7">
      <c r="B18" s="11" t="s">
        <v>8</v>
      </c>
      <c r="C18" s="11" t="s">
        <v>181</v>
      </c>
      <c r="G18" s="90"/>
    </row>
    <row r="21" spans="2:7" s="9" customFormat="1">
      <c r="B21" s="9" t="s">
        <v>54</v>
      </c>
    </row>
    <row r="23" spans="2:7">
      <c r="B23" s="11" t="s">
        <v>55</v>
      </c>
      <c r="C23" s="12" t="s">
        <v>177</v>
      </c>
    </row>
    <row r="26" spans="2:7" s="9" customFormat="1">
      <c r="B26" s="9" t="s">
        <v>178</v>
      </c>
    </row>
    <row r="27" spans="2:7">
      <c r="C27" s="7"/>
    </row>
    <row r="28" spans="2:7">
      <c r="B28" s="7" t="s">
        <v>95</v>
      </c>
      <c r="C28" s="89" t="s">
        <v>96</v>
      </c>
    </row>
    <row r="29" spans="2:7">
      <c r="B29" s="8" t="s">
        <v>98</v>
      </c>
      <c r="C29" s="89" t="s">
        <v>97</v>
      </c>
    </row>
  </sheetData>
  <hyperlinks>
    <hyperlink ref="C28" r:id="rId1"/>
    <hyperlink ref="C29" r:id="rId2"/>
  </hyperlinks>
  <pageMargins left="0.75" right="0.75" top="1" bottom="1" header="0.5" footer="0.5"/>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30"/>
  <sheetViews>
    <sheetView showGridLines="0" zoomScale="85" zoomScaleNormal="85" workbookViewId="0">
      <pane xSplit="6" ySplit="9" topLeftCell="G10" activePane="bottomRight" state="frozen"/>
      <selection activeCell="J76" sqref="J76"/>
      <selection pane="topRight" activeCell="J76" sqref="J76"/>
      <selection pane="bottomLeft" activeCell="J76" sqref="J76"/>
      <selection pane="bottomRight" activeCell="H24" sqref="H24"/>
    </sheetView>
  </sheetViews>
  <sheetFormatPr defaultRowHeight="12.75"/>
  <cols>
    <col min="1" max="1" width="4" style="8" customWidth="1"/>
    <col min="2" max="2" width="64.140625" style="8" customWidth="1"/>
    <col min="3" max="5" width="4.5703125" style="8" customWidth="1"/>
    <col min="6" max="6" width="13.7109375" style="8" customWidth="1"/>
    <col min="7" max="7" width="2.7109375" style="8" customWidth="1"/>
    <col min="8" max="8" width="18.42578125" style="8" customWidth="1"/>
    <col min="9" max="9" width="2.7109375" style="8" customWidth="1"/>
    <col min="10" max="24" width="13.7109375" style="8" customWidth="1"/>
    <col min="25" max="16384" width="9.140625" style="8"/>
  </cols>
  <sheetData>
    <row r="2" spans="2:10" s="36" customFormat="1" ht="18">
      <c r="B2" s="36" t="s">
        <v>35</v>
      </c>
    </row>
    <row r="4" spans="2:10">
      <c r="B4" s="17" t="s">
        <v>28</v>
      </c>
      <c r="C4" s="17"/>
      <c r="D4" s="17"/>
    </row>
    <row r="5" spans="2:10">
      <c r="B5" s="7" t="s">
        <v>29</v>
      </c>
      <c r="C5" s="7"/>
      <c r="D5" s="7"/>
      <c r="H5" s="35"/>
    </row>
    <row r="6" spans="2:10">
      <c r="B6" s="7"/>
      <c r="C6" s="7"/>
      <c r="D6" s="7"/>
      <c r="H6" s="35"/>
    </row>
    <row r="8" spans="2:10" s="9" customFormat="1">
      <c r="B8" s="9" t="s">
        <v>30</v>
      </c>
      <c r="F8" s="9" t="s">
        <v>31</v>
      </c>
      <c r="H8" s="9" t="s">
        <v>32</v>
      </c>
      <c r="J8" s="9" t="s">
        <v>33</v>
      </c>
    </row>
    <row r="11" spans="2:10" s="9" customFormat="1">
      <c r="B11" s="9" t="s">
        <v>34</v>
      </c>
    </row>
    <row r="13" spans="2:10">
      <c r="B13" s="17" t="s">
        <v>24</v>
      </c>
    </row>
    <row r="14" spans="2:10">
      <c r="B14" s="8" t="s">
        <v>156</v>
      </c>
      <c r="F14" s="3" t="s">
        <v>1</v>
      </c>
      <c r="H14" s="38">
        <f>'Input data production'!L29</f>
        <v>7881861.96</v>
      </c>
    </row>
    <row r="15" spans="2:10">
      <c r="B15" s="8" t="s">
        <v>157</v>
      </c>
      <c r="F15" s="3" t="s">
        <v>1</v>
      </c>
      <c r="H15" s="38">
        <f>'Input data production'!M29</f>
        <v>6297683.04</v>
      </c>
    </row>
    <row r="16" spans="2:10">
      <c r="B16" s="8" t="s">
        <v>14</v>
      </c>
      <c r="F16" s="3" t="s">
        <v>1</v>
      </c>
      <c r="H16" s="48">
        <f>H14+H15</f>
        <v>14179545</v>
      </c>
    </row>
    <row r="18" spans="2:10">
      <c r="B18" s="8" t="s">
        <v>15</v>
      </c>
      <c r="F18" s="8" t="s">
        <v>4</v>
      </c>
      <c r="H18" s="39">
        <f>'Input data production'!H31</f>
        <v>0.15020001485176471</v>
      </c>
    </row>
    <row r="19" spans="2:10">
      <c r="B19" s="8" t="s">
        <v>16</v>
      </c>
      <c r="F19" s="8" t="s">
        <v>2</v>
      </c>
      <c r="H19" s="39">
        <f>'Input data production'!H32</f>
        <v>0.26700000000000002</v>
      </c>
    </row>
    <row r="20" spans="2:10">
      <c r="B20" s="8" t="s">
        <v>17</v>
      </c>
      <c r="F20" s="8" t="s">
        <v>3</v>
      </c>
      <c r="H20" s="39">
        <f>'Input data production'!H33</f>
        <v>0.66520000000000001</v>
      </c>
    </row>
    <row r="21" spans="2:10">
      <c r="B21" s="8" t="s">
        <v>18</v>
      </c>
      <c r="F21" s="8" t="s">
        <v>4</v>
      </c>
      <c r="H21" s="49">
        <f>H19*H20*(H14/H16)</f>
        <v>9.8725656693248204E-2</v>
      </c>
    </row>
    <row r="23" spans="2:10">
      <c r="B23" s="17" t="s">
        <v>180</v>
      </c>
    </row>
    <row r="24" spans="2:10">
      <c r="B24" s="8" t="s">
        <v>36</v>
      </c>
      <c r="F24" s="8" t="s">
        <v>3</v>
      </c>
      <c r="H24" s="39">
        <f>'Input data fuel prices'!H32</f>
        <v>0.78859999999999997</v>
      </c>
      <c r="J24" s="13"/>
    </row>
    <row r="25" spans="2:10">
      <c r="J25" s="13"/>
    </row>
    <row r="27" spans="2:10" s="9" customFormat="1">
      <c r="B27" s="9" t="s">
        <v>35</v>
      </c>
    </row>
    <row r="29" spans="2:10">
      <c r="B29" s="17" t="s">
        <v>37</v>
      </c>
    </row>
    <row r="30" spans="2:10">
      <c r="B30" s="8" t="s">
        <v>35</v>
      </c>
      <c r="F30" s="8" t="s">
        <v>4</v>
      </c>
      <c r="H30" s="42">
        <f>H18+H24*H19*(H14/H16)</f>
        <v>0.26724008230259982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X75"/>
  <sheetViews>
    <sheetView showGridLines="0" zoomScale="85" zoomScaleNormal="85" workbookViewId="0">
      <pane xSplit="6" ySplit="10" topLeftCell="G11" activePane="bottomRight" state="frozen"/>
      <selection activeCell="J76" sqref="J76"/>
      <selection pane="topRight" activeCell="J76" sqref="J76"/>
      <selection pane="bottomLeft" activeCell="J76" sqref="J76"/>
      <selection pane="bottomRight"/>
    </sheetView>
  </sheetViews>
  <sheetFormatPr defaultRowHeight="12.75"/>
  <cols>
    <col min="1" max="1" width="4" style="8" customWidth="1"/>
    <col min="2" max="2" width="57.42578125" style="8" customWidth="1"/>
    <col min="3" max="5" width="2.28515625" style="8" customWidth="1"/>
    <col min="6" max="6" width="23.42578125" style="8" customWidth="1"/>
    <col min="7" max="7" width="2.7109375" style="8" customWidth="1"/>
    <col min="8" max="8" width="16.42578125" style="8" customWidth="1"/>
    <col min="9" max="9" width="2.7109375" style="8" customWidth="1"/>
    <col min="10" max="22" width="13.28515625" style="8" customWidth="1"/>
    <col min="23" max="23" width="2.5703125" style="8" customWidth="1"/>
    <col min="24" max="24" width="13.28515625" style="8" customWidth="1"/>
    <col min="25" max="16384" width="9.140625" style="8"/>
  </cols>
  <sheetData>
    <row r="2" spans="2:24" s="36" customFormat="1" ht="18">
      <c r="B2" s="36" t="s">
        <v>92</v>
      </c>
    </row>
    <row r="4" spans="2:24">
      <c r="B4" s="17" t="s">
        <v>28</v>
      </c>
      <c r="C4" s="17"/>
      <c r="D4" s="17"/>
    </row>
    <row r="5" spans="2:24">
      <c r="B5" s="7" t="s">
        <v>99</v>
      </c>
      <c r="C5" s="7"/>
      <c r="D5" s="7"/>
      <c r="H5" s="35"/>
    </row>
    <row r="6" spans="2:24">
      <c r="B6" s="7" t="s">
        <v>91</v>
      </c>
      <c r="C6" s="7"/>
      <c r="D6" s="7"/>
      <c r="H6" s="35"/>
    </row>
    <row r="8" spans="2:24">
      <c r="B8" s="7"/>
    </row>
    <row r="9" spans="2:24" s="9" customFormat="1">
      <c r="B9" s="9" t="s">
        <v>30</v>
      </c>
      <c r="F9" s="9" t="s">
        <v>31</v>
      </c>
      <c r="H9" s="9" t="s">
        <v>32</v>
      </c>
      <c r="J9" s="9" t="s">
        <v>113</v>
      </c>
      <c r="K9" s="9" t="s">
        <v>114</v>
      </c>
      <c r="L9" s="9" t="s">
        <v>115</v>
      </c>
      <c r="M9" s="9" t="s">
        <v>116</v>
      </c>
      <c r="N9" s="9" t="s">
        <v>117</v>
      </c>
      <c r="O9" s="9" t="s">
        <v>118</v>
      </c>
      <c r="P9" s="9" t="s">
        <v>119</v>
      </c>
      <c r="Q9" s="9" t="s">
        <v>120</v>
      </c>
      <c r="R9" s="9" t="s">
        <v>122</v>
      </c>
      <c r="S9" s="9" t="s">
        <v>121</v>
      </c>
      <c r="T9" s="9" t="s">
        <v>123</v>
      </c>
      <c r="U9" s="9" t="s">
        <v>124</v>
      </c>
      <c r="V9" s="9" t="s">
        <v>125</v>
      </c>
      <c r="X9" s="9" t="s">
        <v>33</v>
      </c>
    </row>
    <row r="12" spans="2:24">
      <c r="B12" s="8" t="s">
        <v>42</v>
      </c>
      <c r="F12" s="8" t="s">
        <v>0</v>
      </c>
      <c r="H12" s="51">
        <f>'Input data fuel prices'!H13</f>
        <v>2.1000000000000001E-2</v>
      </c>
    </row>
    <row r="15" spans="2:24" s="9" customFormat="1">
      <c r="B15" s="9" t="s">
        <v>38</v>
      </c>
    </row>
    <row r="17" spans="2:8">
      <c r="B17" s="17" t="s">
        <v>13</v>
      </c>
    </row>
    <row r="18" spans="2:8">
      <c r="B18" s="8" t="s">
        <v>127</v>
      </c>
      <c r="F18" s="8" t="s">
        <v>1</v>
      </c>
      <c r="H18" s="45">
        <f>'Input data production'!L14</f>
        <v>10704000</v>
      </c>
    </row>
    <row r="19" spans="2:8">
      <c r="B19" s="8" t="s">
        <v>128</v>
      </c>
      <c r="F19" s="8" t="s">
        <v>1</v>
      </c>
      <c r="H19" s="45">
        <f>'Input data production'!M14</f>
        <v>3200000</v>
      </c>
    </row>
    <row r="20" spans="2:8">
      <c r="B20" s="8" t="s">
        <v>23</v>
      </c>
      <c r="F20" s="3" t="s">
        <v>1</v>
      </c>
      <c r="H20" s="48">
        <f>H18+H19</f>
        <v>13904000</v>
      </c>
    </row>
    <row r="21" spans="2:8">
      <c r="B21" s="17"/>
    </row>
    <row r="22" spans="2:8">
      <c r="B22" s="8" t="s">
        <v>15</v>
      </c>
      <c r="F22" s="8" t="s">
        <v>4</v>
      </c>
      <c r="H22" s="39">
        <f>'Input data production'!H16</f>
        <v>0.13778916744848457</v>
      </c>
    </row>
    <row r="23" spans="2:8">
      <c r="B23" s="8" t="s">
        <v>16</v>
      </c>
      <c r="F23" s="8" t="s">
        <v>2</v>
      </c>
      <c r="H23" s="39">
        <f>'Input data production'!H17</f>
        <v>0.26900000000000002</v>
      </c>
    </row>
    <row r="25" spans="2:8">
      <c r="B25" s="17" t="s">
        <v>132</v>
      </c>
    </row>
    <row r="26" spans="2:8">
      <c r="B26" s="8" t="s">
        <v>22</v>
      </c>
      <c r="F26" s="8" t="s">
        <v>4</v>
      </c>
      <c r="H26" s="39">
        <f>'Input data production'!H24</f>
        <v>0.2656</v>
      </c>
    </row>
    <row r="29" spans="2:8">
      <c r="B29" s="17" t="s">
        <v>24</v>
      </c>
    </row>
    <row r="30" spans="2:8">
      <c r="B30" s="8" t="s">
        <v>129</v>
      </c>
      <c r="F30" s="8" t="s">
        <v>1</v>
      </c>
      <c r="H30" s="45">
        <f>'Input data production'!L29</f>
        <v>7881861.96</v>
      </c>
    </row>
    <row r="31" spans="2:8">
      <c r="B31" s="8" t="s">
        <v>130</v>
      </c>
      <c r="F31" s="8" t="s">
        <v>1</v>
      </c>
      <c r="H31" s="45">
        <f>'Input data production'!M29</f>
        <v>6297683.04</v>
      </c>
    </row>
    <row r="32" spans="2:8">
      <c r="B32" s="8" t="s">
        <v>14</v>
      </c>
      <c r="F32" s="3" t="s">
        <v>1</v>
      </c>
      <c r="H32" s="48">
        <f>H30+H31</f>
        <v>14179545</v>
      </c>
    </row>
    <row r="34" spans="2:22">
      <c r="B34" s="8" t="s">
        <v>15</v>
      </c>
      <c r="F34" s="8" t="s">
        <v>4</v>
      </c>
      <c r="H34" s="39">
        <f>'Input data production'!H31</f>
        <v>0.15020001485176471</v>
      </c>
    </row>
    <row r="35" spans="2:22">
      <c r="B35" s="8" t="s">
        <v>16</v>
      </c>
      <c r="F35" s="8" t="s">
        <v>2</v>
      </c>
      <c r="H35" s="39">
        <f>'Input data production'!H32</f>
        <v>0.26700000000000002</v>
      </c>
    </row>
    <row r="36" spans="2:22">
      <c r="O36" s="13"/>
    </row>
    <row r="37" spans="2:22">
      <c r="B37" s="17" t="s">
        <v>131</v>
      </c>
    </row>
    <row r="38" spans="2:22">
      <c r="B38" s="8" t="s">
        <v>26</v>
      </c>
      <c r="F38" s="8" t="s">
        <v>4</v>
      </c>
      <c r="H38" s="39">
        <f>'Input data production'!H39</f>
        <v>0.24890000000000001</v>
      </c>
    </row>
    <row r="39" spans="2:22">
      <c r="B39" s="34"/>
    </row>
    <row r="40" spans="2:22">
      <c r="B40" s="4" t="s">
        <v>142</v>
      </c>
    </row>
    <row r="41" spans="2:22">
      <c r="B41" s="10" t="s">
        <v>141</v>
      </c>
      <c r="F41" s="8" t="s">
        <v>1</v>
      </c>
      <c r="L41" s="38">
        <f>'Input data production'!$J45</f>
        <v>1314000</v>
      </c>
      <c r="M41" s="38">
        <f>'Input data production'!$J46</f>
        <v>1369000</v>
      </c>
      <c r="N41" s="38">
        <f>'Input data production'!$J47</f>
        <v>1141000</v>
      </c>
      <c r="O41" s="38">
        <f>'Input data production'!$J48</f>
        <v>1297000</v>
      </c>
      <c r="P41" s="38">
        <f>'Input data production'!$J49</f>
        <v>1184000</v>
      </c>
      <c r="Q41" s="38">
        <f>'Input data production'!$J50</f>
        <v>1075000</v>
      </c>
      <c r="R41" s="38">
        <f>'Input data production'!$J51</f>
        <v>1072000</v>
      </c>
      <c r="S41" s="38">
        <f>'Input data production'!$J52</f>
        <v>910000</v>
      </c>
      <c r="T41" s="38">
        <f>'Input data production'!$J53</f>
        <v>1142000</v>
      </c>
      <c r="U41" s="38">
        <f>'Input data production'!$J54</f>
        <v>1175000</v>
      </c>
      <c r="V41" s="38">
        <f>'Input data production'!$J55</f>
        <v>1185234</v>
      </c>
    </row>
    <row r="42" spans="2:22">
      <c r="B42" s="34"/>
    </row>
    <row r="44" spans="2:22" s="9" customFormat="1">
      <c r="B44" s="9" t="s">
        <v>138</v>
      </c>
    </row>
    <row r="46" spans="2:22">
      <c r="B46" s="8" t="s">
        <v>15</v>
      </c>
      <c r="F46" s="8" t="s">
        <v>4</v>
      </c>
      <c r="L46" s="62">
        <f>$H$22</f>
        <v>0.13778916744848457</v>
      </c>
      <c r="M46" s="62">
        <f t="shared" ref="M46:Q46" si="0">$H$22</f>
        <v>0.13778916744848457</v>
      </c>
      <c r="N46" s="62">
        <f t="shared" si="0"/>
        <v>0.13778916744848457</v>
      </c>
      <c r="O46" s="62">
        <f t="shared" si="0"/>
        <v>0.13778916744848457</v>
      </c>
      <c r="P46" s="62">
        <f t="shared" si="0"/>
        <v>0.13778916744848457</v>
      </c>
      <c r="Q46" s="62">
        <f t="shared" si="0"/>
        <v>0.13778916744848457</v>
      </c>
      <c r="R46" s="62">
        <f>$H$34</f>
        <v>0.15020001485176471</v>
      </c>
      <c r="S46" s="62">
        <f t="shared" ref="S46:V46" si="1">$H$34</f>
        <v>0.15020001485176471</v>
      </c>
      <c r="T46" s="62">
        <f t="shared" si="1"/>
        <v>0.15020001485176471</v>
      </c>
      <c r="U46" s="62">
        <f t="shared" si="1"/>
        <v>0.15020001485176471</v>
      </c>
      <c r="V46" s="62">
        <f t="shared" si="1"/>
        <v>0.15020001485176471</v>
      </c>
    </row>
    <row r="48" spans="2:22">
      <c r="B48" s="8" t="s">
        <v>135</v>
      </c>
      <c r="F48" s="8" t="s">
        <v>1</v>
      </c>
      <c r="L48" s="65">
        <f>$H$18</f>
        <v>10704000</v>
      </c>
      <c r="M48" s="65">
        <f t="shared" ref="M48:Q48" si="2">$H$18</f>
        <v>10704000</v>
      </c>
      <c r="N48" s="65">
        <f t="shared" si="2"/>
        <v>10704000</v>
      </c>
      <c r="O48" s="65">
        <f t="shared" si="2"/>
        <v>10704000</v>
      </c>
      <c r="P48" s="65">
        <f t="shared" si="2"/>
        <v>10704000</v>
      </c>
      <c r="Q48" s="65">
        <f t="shared" si="2"/>
        <v>10704000</v>
      </c>
      <c r="R48" s="65">
        <f>$H$30</f>
        <v>7881861.96</v>
      </c>
      <c r="S48" s="65">
        <f t="shared" ref="S48:V48" si="3">$H$30</f>
        <v>7881861.96</v>
      </c>
      <c r="T48" s="65">
        <f t="shared" si="3"/>
        <v>7881861.96</v>
      </c>
      <c r="U48" s="65">
        <f t="shared" si="3"/>
        <v>7881861.96</v>
      </c>
      <c r="V48" s="65">
        <f t="shared" si="3"/>
        <v>7881861.96</v>
      </c>
    </row>
    <row r="49" spans="1:22">
      <c r="B49" s="8" t="s">
        <v>136</v>
      </c>
      <c r="F49" s="8" t="s">
        <v>1</v>
      </c>
      <c r="L49" s="65">
        <f>$H$20</f>
        <v>13904000</v>
      </c>
      <c r="M49" s="65">
        <f t="shared" ref="M49:Q49" si="4">$H$20</f>
        <v>13904000</v>
      </c>
      <c r="N49" s="65">
        <f t="shared" si="4"/>
        <v>13904000</v>
      </c>
      <c r="O49" s="65">
        <f t="shared" si="4"/>
        <v>13904000</v>
      </c>
      <c r="P49" s="65">
        <f t="shared" si="4"/>
        <v>13904000</v>
      </c>
      <c r="Q49" s="65">
        <f t="shared" si="4"/>
        <v>13904000</v>
      </c>
      <c r="R49" s="65">
        <f>$H$32</f>
        <v>14179545</v>
      </c>
      <c r="S49" s="65">
        <f t="shared" ref="S49:V49" si="5">$H$32</f>
        <v>14179545</v>
      </c>
      <c r="T49" s="65">
        <f t="shared" si="5"/>
        <v>14179545</v>
      </c>
      <c r="U49" s="65">
        <f t="shared" si="5"/>
        <v>14179545</v>
      </c>
      <c r="V49" s="65">
        <f t="shared" si="5"/>
        <v>14179545</v>
      </c>
    </row>
    <row r="50" spans="1:22">
      <c r="B50" s="8" t="s">
        <v>16</v>
      </c>
      <c r="F50" s="8" t="s">
        <v>2</v>
      </c>
      <c r="L50" s="62">
        <f>$H$23</f>
        <v>0.26900000000000002</v>
      </c>
      <c r="M50" s="62">
        <f t="shared" ref="M50:Q50" si="6">$H$23</f>
        <v>0.26900000000000002</v>
      </c>
      <c r="N50" s="62">
        <f t="shared" si="6"/>
        <v>0.26900000000000002</v>
      </c>
      <c r="O50" s="62">
        <f t="shared" si="6"/>
        <v>0.26900000000000002</v>
      </c>
      <c r="P50" s="62">
        <f t="shared" si="6"/>
        <v>0.26900000000000002</v>
      </c>
      <c r="Q50" s="62">
        <f t="shared" si="6"/>
        <v>0.26900000000000002</v>
      </c>
      <c r="R50" s="62">
        <f>$H$35</f>
        <v>0.26700000000000002</v>
      </c>
      <c r="S50" s="62">
        <f t="shared" ref="S50:V50" si="7">$H$35</f>
        <v>0.26700000000000002</v>
      </c>
      <c r="T50" s="62">
        <f t="shared" si="7"/>
        <v>0.26700000000000002</v>
      </c>
      <c r="U50" s="62">
        <f t="shared" si="7"/>
        <v>0.26700000000000002</v>
      </c>
      <c r="V50" s="62">
        <f t="shared" si="7"/>
        <v>0.26700000000000002</v>
      </c>
    </row>
    <row r="52" spans="1:22">
      <c r="B52" s="8" t="s">
        <v>133</v>
      </c>
      <c r="F52" s="8" t="s">
        <v>3</v>
      </c>
      <c r="J52" s="39">
        <f>'Input data fuel prices'!$H18</f>
        <v>0.60999879320151629</v>
      </c>
      <c r="K52" s="39">
        <f>'Input data fuel prices'!$H19</f>
        <v>0.58622894559632877</v>
      </c>
      <c r="L52" s="39">
        <f>'Input data fuel prices'!$H20</f>
        <v>0.59110397891208011</v>
      </c>
      <c r="M52" s="39">
        <f>'Input data fuel prices'!$H21</f>
        <v>0.61899358771060464</v>
      </c>
      <c r="N52" s="39">
        <f>'Input data fuel prices'!$H22</f>
        <v>0.65098140717344555</v>
      </c>
      <c r="O52" s="39">
        <f>'Input data fuel prices'!$H23</f>
        <v>0.66128885825784989</v>
      </c>
      <c r="P52" s="39">
        <f>'Input data fuel prices'!$H24</f>
        <v>0.70585168376890717</v>
      </c>
      <c r="Q52" s="39">
        <f>'Input data fuel prices'!$H25</f>
        <v>0.70279999999999987</v>
      </c>
      <c r="R52" s="39">
        <f>'Input data fuel prices'!$H26</f>
        <v>0.73851867299732166</v>
      </c>
      <c r="S52" s="39">
        <f>'Input data fuel prices'!$H27</f>
        <v>0.7183957308174711</v>
      </c>
      <c r="T52" s="39">
        <f>'Input data fuel prices'!$H28</f>
        <v>0.70668825287771952</v>
      </c>
    </row>
    <row r="53" spans="1:22">
      <c r="B53" s="8" t="s">
        <v>134</v>
      </c>
      <c r="F53" s="8" t="s">
        <v>3</v>
      </c>
      <c r="L53" s="39">
        <f>J52</f>
        <v>0.60999879320151629</v>
      </c>
      <c r="M53" s="39">
        <f t="shared" ref="M53:V53" si="8">K52</f>
        <v>0.58622894559632877</v>
      </c>
      <c r="N53" s="39">
        <f t="shared" si="8"/>
        <v>0.59110397891208011</v>
      </c>
      <c r="O53" s="39">
        <f t="shared" si="8"/>
        <v>0.61899358771060464</v>
      </c>
      <c r="P53" s="39">
        <f t="shared" si="8"/>
        <v>0.65098140717344555</v>
      </c>
      <c r="Q53" s="39">
        <f t="shared" si="8"/>
        <v>0.66128885825784989</v>
      </c>
      <c r="R53" s="39">
        <f t="shared" si="8"/>
        <v>0.70585168376890717</v>
      </c>
      <c r="S53" s="39">
        <f t="shared" si="8"/>
        <v>0.70279999999999987</v>
      </c>
      <c r="T53" s="39">
        <f t="shared" si="8"/>
        <v>0.73851867299732166</v>
      </c>
      <c r="U53" s="39">
        <f t="shared" si="8"/>
        <v>0.7183957308174711</v>
      </c>
      <c r="V53" s="39">
        <f t="shared" si="8"/>
        <v>0.70668825287771952</v>
      </c>
    </row>
    <row r="55" spans="1:22">
      <c r="B55" s="8" t="s">
        <v>137</v>
      </c>
      <c r="F55" s="8" t="s">
        <v>4</v>
      </c>
      <c r="L55" s="64">
        <f>L46+L53*L50*(L48/L49)</f>
        <v>0.26411367012206122</v>
      </c>
      <c r="M55" s="64">
        <f t="shared" ref="M55:V55" si="9">M46+M53*M50*(M48/M49)</f>
        <v>0.25919117812565479</v>
      </c>
      <c r="N55" s="64">
        <f t="shared" si="9"/>
        <v>0.26020074759692746</v>
      </c>
      <c r="O55" s="64">
        <f t="shared" si="9"/>
        <v>0.26597639994329259</v>
      </c>
      <c r="P55" s="64">
        <f t="shared" si="9"/>
        <v>0.27260074974576931</v>
      </c>
      <c r="Q55" s="64">
        <f t="shared" si="9"/>
        <v>0.27473531729997014</v>
      </c>
      <c r="R55" s="64">
        <f t="shared" si="9"/>
        <v>0.2549589911117171</v>
      </c>
      <c r="S55" s="64">
        <f t="shared" si="9"/>
        <v>0.25450607547114956</v>
      </c>
      <c r="T55" s="64">
        <f t="shared" si="9"/>
        <v>0.25980726225387957</v>
      </c>
      <c r="U55" s="64">
        <f t="shared" si="9"/>
        <v>0.25682071582978755</v>
      </c>
      <c r="V55" s="64">
        <f t="shared" si="9"/>
        <v>0.25508315051435804</v>
      </c>
    </row>
    <row r="58" spans="1:22" s="9" customFormat="1">
      <c r="B58" s="9" t="s">
        <v>158</v>
      </c>
    </row>
    <row r="60" spans="1:22">
      <c r="A60" s="10"/>
      <c r="B60" s="8" t="s">
        <v>139</v>
      </c>
      <c r="F60" s="8" t="s">
        <v>4</v>
      </c>
      <c r="L60" s="62">
        <f>$H$26</f>
        <v>0.2656</v>
      </c>
      <c r="M60" s="62">
        <f t="shared" ref="M60:Q60" si="10">$H$26</f>
        <v>0.2656</v>
      </c>
      <c r="N60" s="62">
        <f t="shared" si="10"/>
        <v>0.2656</v>
      </c>
      <c r="O60" s="62">
        <f t="shared" si="10"/>
        <v>0.2656</v>
      </c>
      <c r="P60" s="62">
        <f t="shared" si="10"/>
        <v>0.2656</v>
      </c>
      <c r="Q60" s="62">
        <f t="shared" si="10"/>
        <v>0.2656</v>
      </c>
      <c r="R60" s="62">
        <f>$H$38</f>
        <v>0.24890000000000001</v>
      </c>
      <c r="S60" s="62">
        <f t="shared" ref="S60:V60" si="11">$H$38</f>
        <v>0.24890000000000001</v>
      </c>
      <c r="T60" s="62">
        <f t="shared" si="11"/>
        <v>0.24890000000000001</v>
      </c>
      <c r="U60" s="62">
        <f t="shared" si="11"/>
        <v>0.24890000000000001</v>
      </c>
      <c r="V60" s="62">
        <f t="shared" si="11"/>
        <v>0.24890000000000001</v>
      </c>
    </row>
    <row r="61" spans="1:22">
      <c r="A61" s="10"/>
      <c r="B61" s="8" t="s">
        <v>140</v>
      </c>
      <c r="F61" s="8" t="s">
        <v>4</v>
      </c>
      <c r="L61" s="64">
        <f>L55-L60</f>
        <v>-1.4863298779387857E-3</v>
      </c>
      <c r="M61" s="64">
        <f t="shared" ref="M61:V61" si="12">M55-M60</f>
        <v>-6.4088218743452163E-3</v>
      </c>
      <c r="N61" s="64">
        <f t="shared" si="12"/>
        <v>-5.3992524030725408E-3</v>
      </c>
      <c r="O61" s="64">
        <f t="shared" si="12"/>
        <v>3.7639994329258242E-4</v>
      </c>
      <c r="P61" s="64">
        <f t="shared" si="12"/>
        <v>7.000749745769308E-3</v>
      </c>
      <c r="Q61" s="64">
        <f t="shared" si="12"/>
        <v>9.135317299970136E-3</v>
      </c>
      <c r="R61" s="64">
        <f t="shared" si="12"/>
        <v>6.0589911117170936E-3</v>
      </c>
      <c r="S61" s="64">
        <f t="shared" si="12"/>
        <v>5.606075471149552E-3</v>
      </c>
      <c r="T61" s="64">
        <f t="shared" si="12"/>
        <v>1.0907262253879557E-2</v>
      </c>
      <c r="U61" s="64">
        <f t="shared" si="12"/>
        <v>7.9207158297875391E-3</v>
      </c>
      <c r="V61" s="64">
        <f t="shared" si="12"/>
        <v>6.1831505143580268E-3</v>
      </c>
    </row>
    <row r="62" spans="1:22" s="10" customFormat="1">
      <c r="L62" s="66"/>
      <c r="M62" s="66"/>
      <c r="N62" s="66"/>
      <c r="O62" s="66"/>
      <c r="P62" s="66"/>
      <c r="Q62" s="66"/>
      <c r="R62" s="66"/>
      <c r="S62" s="66"/>
      <c r="T62" s="66"/>
      <c r="U62" s="66"/>
      <c r="V62" s="66"/>
    </row>
    <row r="63" spans="1:22" s="10" customFormat="1">
      <c r="B63" s="10" t="s">
        <v>141</v>
      </c>
      <c r="F63" s="8" t="s">
        <v>1</v>
      </c>
      <c r="L63" s="38">
        <f>L41</f>
        <v>1314000</v>
      </c>
      <c r="M63" s="38">
        <f t="shared" ref="M63:V63" si="13">M41</f>
        <v>1369000</v>
      </c>
      <c r="N63" s="38">
        <f t="shared" si="13"/>
        <v>1141000</v>
      </c>
      <c r="O63" s="38">
        <f t="shared" si="13"/>
        <v>1297000</v>
      </c>
      <c r="P63" s="38">
        <f t="shared" si="13"/>
        <v>1184000</v>
      </c>
      <c r="Q63" s="38">
        <f t="shared" si="13"/>
        <v>1075000</v>
      </c>
      <c r="R63" s="38">
        <f t="shared" si="13"/>
        <v>1072000</v>
      </c>
      <c r="S63" s="38">
        <f t="shared" si="13"/>
        <v>910000</v>
      </c>
      <c r="T63" s="38">
        <f t="shared" si="13"/>
        <v>1142000</v>
      </c>
      <c r="U63" s="38">
        <f t="shared" si="13"/>
        <v>1175000</v>
      </c>
      <c r="V63" s="38">
        <f t="shared" si="13"/>
        <v>1185234</v>
      </c>
    </row>
    <row r="64" spans="1:22">
      <c r="A64" s="10"/>
    </row>
    <row r="65" spans="1:24">
      <c r="A65" s="10"/>
      <c r="B65" s="8" t="s">
        <v>126</v>
      </c>
      <c r="F65" s="8" t="s">
        <v>6</v>
      </c>
      <c r="L65" s="63">
        <f>L61*L63</f>
        <v>-1953.0374596115644</v>
      </c>
      <c r="M65" s="63">
        <f t="shared" ref="M65:V65" si="14">M61*M63</f>
        <v>-8773.6771459786014</v>
      </c>
      <c r="N65" s="63">
        <f t="shared" si="14"/>
        <v>-6160.5469919057687</v>
      </c>
      <c r="O65" s="63">
        <f t="shared" si="14"/>
        <v>488.19072645047942</v>
      </c>
      <c r="P65" s="63">
        <f t="shared" si="14"/>
        <v>8288.8876989908604</v>
      </c>
      <c r="Q65" s="63">
        <f t="shared" si="14"/>
        <v>9820.4660974678955</v>
      </c>
      <c r="R65" s="63">
        <f t="shared" si="14"/>
        <v>6495.2384717607247</v>
      </c>
      <c r="S65" s="63">
        <f t="shared" si="14"/>
        <v>5101.5286787460918</v>
      </c>
      <c r="T65" s="63">
        <f t="shared" si="14"/>
        <v>12456.093493930453</v>
      </c>
      <c r="U65" s="63">
        <f t="shared" si="14"/>
        <v>9306.841100000358</v>
      </c>
      <c r="V65" s="63">
        <f t="shared" si="14"/>
        <v>7328.4802167346215</v>
      </c>
    </row>
    <row r="66" spans="1:24">
      <c r="B66" s="8" t="s">
        <v>145</v>
      </c>
      <c r="F66" s="8" t="s">
        <v>39</v>
      </c>
      <c r="H66" s="63">
        <f>SUM(L65:Q65)</f>
        <v>1710.282925413303</v>
      </c>
    </row>
    <row r="67" spans="1:24">
      <c r="B67" s="8" t="s">
        <v>146</v>
      </c>
      <c r="F67" s="8" t="s">
        <v>40</v>
      </c>
      <c r="H67" s="63">
        <f>SUM(R65:V65)</f>
        <v>40688.181961172246</v>
      </c>
    </row>
    <row r="69" spans="1:24">
      <c r="B69" s="8" t="s">
        <v>147</v>
      </c>
      <c r="F69" s="8" t="s">
        <v>40</v>
      </c>
      <c r="H69" s="44">
        <f>H66*(1+H12)+H67</f>
        <v>42434.380828019232</v>
      </c>
    </row>
    <row r="72" spans="1:24" s="9" customFormat="1">
      <c r="B72" s="9" t="s">
        <v>44</v>
      </c>
    </row>
    <row r="74" spans="1:24">
      <c r="B74" s="8" t="s">
        <v>45</v>
      </c>
      <c r="F74" s="8" t="s">
        <v>1</v>
      </c>
      <c r="H74" s="38">
        <f>H32</f>
        <v>14179545</v>
      </c>
    </row>
    <row r="75" spans="1:24">
      <c r="B75" s="8" t="s">
        <v>112</v>
      </c>
      <c r="F75" s="8" t="s">
        <v>1</v>
      </c>
      <c r="H75" s="44">
        <f>H74/2</f>
        <v>7089772.5</v>
      </c>
      <c r="X75" s="8" t="s">
        <v>46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F40"/>
  <sheetViews>
    <sheetView showGridLines="0" zoomScale="85" zoomScaleNormal="85" workbookViewId="0">
      <pane ySplit="3" topLeftCell="A4" activePane="bottomLeft" state="frozen"/>
      <selection activeCell="A4" sqref="A4"/>
      <selection pane="bottomLeft" activeCell="D61" sqref="D61"/>
    </sheetView>
  </sheetViews>
  <sheetFormatPr defaultRowHeight="12.75"/>
  <cols>
    <col min="1" max="1" width="2.85546875" style="8" customWidth="1"/>
    <col min="2" max="2" width="28.5703125" style="8" customWidth="1"/>
    <col min="3" max="3" width="20.7109375" style="8" customWidth="1"/>
    <col min="4" max="4" width="56.85546875" style="8" customWidth="1"/>
    <col min="5" max="5" width="29.85546875" style="8" customWidth="1"/>
    <col min="6" max="6" width="24.7109375" style="8" customWidth="1"/>
    <col min="7" max="7" width="37.28515625" style="8" customWidth="1"/>
    <col min="8" max="16384" width="9.140625" style="8"/>
  </cols>
  <sheetData>
    <row r="2" spans="2:4" s="15" customFormat="1" ht="18">
      <c r="B2" s="14" t="s">
        <v>56</v>
      </c>
      <c r="D2" s="16"/>
    </row>
    <row r="4" spans="2:4" s="9" customFormat="1">
      <c r="B4" s="9" t="s">
        <v>57</v>
      </c>
    </row>
    <row r="6" spans="2:4">
      <c r="B6" s="53" t="s">
        <v>100</v>
      </c>
    </row>
    <row r="8" spans="2:4">
      <c r="B8" s="4" t="s">
        <v>58</v>
      </c>
    </row>
    <row r="9" spans="2:4">
      <c r="B9" s="53" t="s">
        <v>101</v>
      </c>
    </row>
    <row r="10" spans="2:4">
      <c r="B10" s="8" t="s">
        <v>59</v>
      </c>
    </row>
    <row r="11" spans="2:4">
      <c r="B11" s="8" t="s">
        <v>102</v>
      </c>
    </row>
    <row r="12" spans="2:4">
      <c r="B12" s="8" t="s">
        <v>60</v>
      </c>
    </row>
    <row r="15" spans="2:4" s="9" customFormat="1">
      <c r="B15" s="9" t="s">
        <v>61</v>
      </c>
    </row>
    <row r="16" spans="2:4">
      <c r="C16" s="10"/>
    </row>
    <row r="17" spans="2:6">
      <c r="B17" s="17" t="s">
        <v>62</v>
      </c>
      <c r="C17" s="10"/>
      <c r="D17" s="17" t="s">
        <v>63</v>
      </c>
      <c r="F17" s="18"/>
    </row>
    <row r="18" spans="2:6">
      <c r="C18" s="10"/>
    </row>
    <row r="19" spans="2:6">
      <c r="B19" s="19">
        <v>123</v>
      </c>
      <c r="C19" s="10"/>
      <c r="D19" s="7" t="s">
        <v>64</v>
      </c>
    </row>
    <row r="20" spans="2:6">
      <c r="B20" s="20">
        <f>B19</f>
        <v>123</v>
      </c>
      <c r="C20" s="10"/>
      <c r="D20" s="8" t="s">
        <v>65</v>
      </c>
    </row>
    <row r="21" spans="2:6">
      <c r="B21" s="21">
        <f>B20+B19</f>
        <v>246</v>
      </c>
      <c r="C21" s="10"/>
      <c r="D21" s="8" t="s">
        <v>66</v>
      </c>
    </row>
    <row r="22" spans="2:6">
      <c r="B22" s="22">
        <f>B20+B21</f>
        <v>369</v>
      </c>
      <c r="C22" s="10"/>
      <c r="D22" s="7" t="s">
        <v>67</v>
      </c>
      <c r="E22" s="18"/>
      <c r="F22" s="13"/>
    </row>
    <row r="23" spans="2:6">
      <c r="B23" s="23"/>
      <c r="C23" s="10"/>
      <c r="D23" s="7" t="s">
        <v>68</v>
      </c>
      <c r="E23" s="18"/>
    </row>
    <row r="24" spans="2:6">
      <c r="B24" s="10"/>
      <c r="C24" s="10"/>
    </row>
    <row r="25" spans="2:6">
      <c r="B25" s="24" t="s">
        <v>69</v>
      </c>
      <c r="C25" s="10"/>
    </row>
    <row r="26" spans="2:6">
      <c r="B26" s="25">
        <f>B22+16</f>
        <v>385</v>
      </c>
      <c r="C26" s="10"/>
      <c r="D26" s="8" t="s">
        <v>70</v>
      </c>
    </row>
    <row r="27" spans="2:6">
      <c r="B27" s="26">
        <f>B20*PI()</f>
        <v>386.41589639154455</v>
      </c>
      <c r="C27" s="27"/>
      <c r="D27" s="8" t="s">
        <v>71</v>
      </c>
    </row>
    <row r="28" spans="2:6">
      <c r="B28" s="27"/>
      <c r="C28" s="27"/>
    </row>
    <row r="30" spans="2:6">
      <c r="B30" s="17" t="s">
        <v>72</v>
      </c>
    </row>
    <row r="31" spans="2:6">
      <c r="B31" s="17"/>
    </row>
    <row r="32" spans="2:6">
      <c r="B32" s="28"/>
    </row>
    <row r="33" spans="2:4">
      <c r="B33" s="29" t="s">
        <v>9</v>
      </c>
      <c r="C33" s="10"/>
      <c r="D33" s="7" t="s">
        <v>73</v>
      </c>
    </row>
    <row r="34" spans="2:4">
      <c r="B34" s="30" t="s">
        <v>10</v>
      </c>
      <c r="C34" s="10"/>
      <c r="D34" s="7" t="s">
        <v>74</v>
      </c>
    </row>
    <row r="35" spans="2:4">
      <c r="B35" s="31" t="s">
        <v>11</v>
      </c>
      <c r="C35" s="10"/>
      <c r="D35" s="7" t="s">
        <v>75</v>
      </c>
    </row>
    <row r="36" spans="2:4">
      <c r="B36" s="26" t="s">
        <v>11</v>
      </c>
      <c r="C36" s="10"/>
      <c r="D36" s="7" t="s">
        <v>76</v>
      </c>
    </row>
    <row r="37" spans="2:4">
      <c r="C37" s="10"/>
      <c r="D37" s="7"/>
    </row>
    <row r="38" spans="2:4">
      <c r="B38" s="28"/>
      <c r="C38" s="10"/>
      <c r="D38" s="7"/>
    </row>
    <row r="39" spans="2:4">
      <c r="B39" s="32" t="s">
        <v>12</v>
      </c>
      <c r="C39" s="10"/>
      <c r="D39" s="7" t="s">
        <v>77</v>
      </c>
    </row>
    <row r="40" spans="2:4">
      <c r="B40" s="33" t="s">
        <v>5</v>
      </c>
      <c r="D40" s="7" t="s">
        <v>78</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heetViews>
  <sheetFormatPr defaultRowHeight="15"/>
  <cols>
    <col min="1" max="16384" width="9.140625" style="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2:J24"/>
  <sheetViews>
    <sheetView showGridLines="0" zoomScale="85" zoomScaleNormal="85" workbookViewId="0">
      <pane xSplit="6" ySplit="8" topLeftCell="G9" activePane="bottomRight" state="frozen"/>
      <selection activeCell="J76" sqref="J76"/>
      <selection pane="topRight" activeCell="J76" sqref="J76"/>
      <selection pane="bottomLeft" activeCell="J76" sqref="J76"/>
      <selection pane="bottomRight" activeCell="H23" sqref="H23"/>
    </sheetView>
  </sheetViews>
  <sheetFormatPr defaultRowHeight="12.75"/>
  <cols>
    <col min="1" max="1" width="4" style="8" customWidth="1"/>
    <col min="2" max="2" width="65.28515625" style="8" customWidth="1"/>
    <col min="3" max="5" width="4.5703125" style="8" customWidth="1"/>
    <col min="6" max="6" width="22.28515625" style="8" customWidth="1"/>
    <col min="7" max="7" width="2.7109375" style="8" customWidth="1"/>
    <col min="8" max="8" width="18.42578125" style="8" customWidth="1"/>
    <col min="9" max="9" width="2.7109375" style="8" customWidth="1"/>
    <col min="10" max="24" width="13.7109375" style="8" customWidth="1"/>
    <col min="25" max="16384" width="9.140625" style="8"/>
  </cols>
  <sheetData>
    <row r="2" spans="1:10" s="36" customFormat="1" ht="18">
      <c r="B2" s="36" t="s">
        <v>150</v>
      </c>
    </row>
    <row r="4" spans="1:10">
      <c r="B4" s="17" t="s">
        <v>79</v>
      </c>
      <c r="C4" s="17"/>
      <c r="D4" s="17"/>
    </row>
    <row r="5" spans="1:10">
      <c r="B5" s="7" t="s">
        <v>84</v>
      </c>
      <c r="C5" s="7"/>
      <c r="D5" s="7"/>
      <c r="H5" s="35"/>
    </row>
    <row r="7" spans="1:10" s="9" customFormat="1">
      <c r="B7" s="9" t="s">
        <v>30</v>
      </c>
      <c r="F7" s="9" t="s">
        <v>31</v>
      </c>
      <c r="H7" s="9" t="s">
        <v>32</v>
      </c>
      <c r="J7" s="9" t="s">
        <v>48</v>
      </c>
    </row>
    <row r="10" spans="1:10" s="9" customFormat="1">
      <c r="B10" s="9" t="s">
        <v>80</v>
      </c>
    </row>
    <row r="12" spans="1:10">
      <c r="B12" s="8" t="s">
        <v>35</v>
      </c>
      <c r="F12" s="8" t="s">
        <v>4</v>
      </c>
      <c r="H12" s="43">
        <f>'New estimation production price'!H30</f>
        <v>0.26724008230259982</v>
      </c>
      <c r="J12" s="8" t="s">
        <v>49</v>
      </c>
    </row>
    <row r="14" spans="1:10">
      <c r="A14" s="10"/>
      <c r="B14" s="17" t="s">
        <v>160</v>
      </c>
    </row>
    <row r="15" spans="1:10">
      <c r="A15" s="10"/>
      <c r="B15" s="8" t="s">
        <v>81</v>
      </c>
      <c r="F15" s="8" t="s">
        <v>148</v>
      </c>
      <c r="H15" s="45">
        <f>'Corr fuel price difference '!H69</f>
        <v>42434.380828019232</v>
      </c>
    </row>
    <row r="16" spans="1:10">
      <c r="A16" s="10"/>
      <c r="B16" s="8" t="s">
        <v>82</v>
      </c>
      <c r="F16" s="8" t="s">
        <v>1</v>
      </c>
      <c r="H16" s="38">
        <f>'Corr fuel price difference '!H75</f>
        <v>7089772.5</v>
      </c>
      <c r="J16" s="13"/>
    </row>
    <row r="17" spans="1:8">
      <c r="A17" s="10"/>
      <c r="B17" s="8" t="s">
        <v>149</v>
      </c>
      <c r="F17" s="8" t="s">
        <v>4</v>
      </c>
      <c r="H17" s="41">
        <f>H15/H16</f>
        <v>5.9852951315460734E-3</v>
      </c>
    </row>
    <row r="18" spans="1:8">
      <c r="A18" s="10"/>
    </row>
    <row r="19" spans="1:8">
      <c r="B19" s="17" t="s">
        <v>80</v>
      </c>
    </row>
    <row r="20" spans="1:8">
      <c r="B20" s="53" t="s">
        <v>83</v>
      </c>
      <c r="F20" s="8" t="s">
        <v>4</v>
      </c>
      <c r="H20" s="43">
        <f>H12+H17</f>
        <v>0.27322537743414588</v>
      </c>
    </row>
    <row r="21" spans="1:8">
      <c r="B21" s="8" t="s">
        <v>103</v>
      </c>
      <c r="F21" s="8" t="s">
        <v>0</v>
      </c>
      <c r="H21" s="40">
        <f>'Input data production'!H36</f>
        <v>0.12</v>
      </c>
    </row>
    <row r="22" spans="1:8">
      <c r="B22" s="8" t="s">
        <v>85</v>
      </c>
      <c r="F22" s="8" t="s">
        <v>4</v>
      </c>
      <c r="H22" s="42">
        <f>H20/(1-H21)</f>
        <v>0.31048338344789306</v>
      </c>
    </row>
    <row r="24" spans="1:8">
      <c r="B24"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H30"/>
  <sheetViews>
    <sheetView showGridLines="0" zoomScale="85" zoomScaleNormal="85" workbookViewId="0"/>
  </sheetViews>
  <sheetFormatPr defaultRowHeight="12.75"/>
  <cols>
    <col min="1" max="1" width="9.140625" style="53"/>
    <col min="2" max="2" width="4.28515625" style="53" customWidth="1"/>
    <col min="3" max="3" width="63.5703125" style="53" customWidth="1"/>
    <col min="4" max="4" width="5.28515625" style="53" customWidth="1"/>
    <col min="5" max="5" width="10.7109375" style="53" customWidth="1"/>
    <col min="6" max="6" width="5.140625" style="53" customWidth="1"/>
    <col min="7" max="7" width="12.140625" style="53" customWidth="1"/>
    <col min="8" max="8" width="4.85546875" style="53" customWidth="1"/>
    <col min="9" max="16384" width="9.140625" style="53"/>
  </cols>
  <sheetData>
    <row r="2" spans="2:8" s="36" customFormat="1" ht="18">
      <c r="B2" s="36" t="s">
        <v>163</v>
      </c>
    </row>
    <row r="7" spans="2:8">
      <c r="B7" s="71"/>
      <c r="C7" s="72"/>
      <c r="D7" s="72"/>
      <c r="E7" s="72"/>
      <c r="F7" s="72"/>
      <c r="G7" s="72"/>
      <c r="H7" s="73"/>
    </row>
    <row r="8" spans="2:8">
      <c r="B8" s="74"/>
      <c r="C8" s="75"/>
      <c r="D8" s="75"/>
      <c r="E8" s="75"/>
      <c r="F8" s="75"/>
      <c r="G8" s="75"/>
      <c r="H8" s="76"/>
    </row>
    <row r="9" spans="2:8" s="9" customFormat="1">
      <c r="B9" s="77"/>
      <c r="C9" s="78" t="s">
        <v>164</v>
      </c>
      <c r="D9" s="78"/>
      <c r="E9" s="78"/>
      <c r="F9" s="78"/>
      <c r="G9" s="78"/>
      <c r="H9" s="79"/>
    </row>
    <row r="10" spans="2:8">
      <c r="B10" s="74"/>
      <c r="C10" s="75"/>
      <c r="D10" s="75"/>
      <c r="E10" s="75"/>
      <c r="F10" s="75"/>
      <c r="G10" s="75"/>
      <c r="H10" s="76"/>
    </row>
    <row r="11" spans="2:8">
      <c r="B11" s="74"/>
      <c r="C11" s="80" t="s">
        <v>165</v>
      </c>
      <c r="D11" s="75"/>
      <c r="E11" s="75"/>
      <c r="F11" s="75"/>
      <c r="G11" s="75"/>
      <c r="H11" s="76"/>
    </row>
    <row r="12" spans="2:8">
      <c r="B12" s="74"/>
      <c r="C12" s="75" t="s">
        <v>41</v>
      </c>
      <c r="D12" s="75"/>
      <c r="E12" s="75" t="s">
        <v>0</v>
      </c>
      <c r="F12" s="75"/>
      <c r="G12" s="81">
        <f>'Input data fuel prices'!H13</f>
        <v>2.1000000000000001E-2</v>
      </c>
      <c r="H12" s="76"/>
    </row>
    <row r="13" spans="2:8">
      <c r="B13" s="74"/>
      <c r="C13" s="75"/>
      <c r="D13" s="75"/>
      <c r="E13" s="75"/>
      <c r="F13" s="75"/>
      <c r="G13" s="75"/>
      <c r="H13" s="76"/>
    </row>
    <row r="14" spans="2:8">
      <c r="B14" s="74"/>
      <c r="C14" s="80" t="s">
        <v>166</v>
      </c>
      <c r="D14" s="75"/>
      <c r="E14" s="75"/>
      <c r="F14" s="75"/>
      <c r="G14" s="75"/>
      <c r="H14" s="76"/>
    </row>
    <row r="15" spans="2:8">
      <c r="B15" s="74"/>
      <c r="C15" s="75" t="s">
        <v>167</v>
      </c>
      <c r="D15" s="75"/>
      <c r="E15" s="75" t="s">
        <v>168</v>
      </c>
      <c r="F15" s="75"/>
      <c r="G15" s="82">
        <f>'Input data fuel prices'!H32</f>
        <v>0.78859999999999997</v>
      </c>
      <c r="H15" s="76"/>
    </row>
    <row r="16" spans="2:8">
      <c r="B16" s="74"/>
      <c r="C16" s="75" t="s">
        <v>169</v>
      </c>
      <c r="D16" s="75"/>
      <c r="E16" s="75" t="s">
        <v>4</v>
      </c>
      <c r="F16" s="75"/>
      <c r="G16" s="82">
        <f>'New estimation production price'!H30</f>
        <v>0.26724008230259982</v>
      </c>
      <c r="H16" s="76"/>
    </row>
    <row r="17" spans="2:8">
      <c r="B17" s="74"/>
      <c r="C17" s="75"/>
      <c r="D17" s="75"/>
      <c r="E17" s="75"/>
      <c r="F17" s="75"/>
      <c r="G17" s="75"/>
      <c r="H17" s="76"/>
    </row>
    <row r="18" spans="2:8">
      <c r="B18" s="74"/>
      <c r="C18" s="80" t="s">
        <v>170</v>
      </c>
      <c r="D18" s="75"/>
      <c r="E18" s="75"/>
      <c r="F18" s="75"/>
      <c r="G18" s="75"/>
      <c r="H18" s="76"/>
    </row>
    <row r="19" spans="2:8">
      <c r="B19" s="74"/>
      <c r="C19" s="75" t="s">
        <v>171</v>
      </c>
      <c r="D19" s="75"/>
      <c r="E19" s="75" t="s">
        <v>6</v>
      </c>
      <c r="F19" s="75"/>
      <c r="G19" s="83">
        <f>'Corr fuel price difference '!H66</f>
        <v>1710.282925413303</v>
      </c>
      <c r="H19" s="76"/>
    </row>
    <row r="20" spans="2:8">
      <c r="B20" s="74"/>
      <c r="C20" s="75" t="s">
        <v>172</v>
      </c>
      <c r="D20" s="75"/>
      <c r="E20" s="75" t="s">
        <v>6</v>
      </c>
      <c r="F20" s="75"/>
      <c r="G20" s="83">
        <f>'Corr fuel price difference '!H67</f>
        <v>40688.181961172246</v>
      </c>
      <c r="H20" s="76"/>
    </row>
    <row r="21" spans="2:8">
      <c r="B21" s="74"/>
      <c r="C21" s="75" t="s">
        <v>173</v>
      </c>
      <c r="D21" s="75"/>
      <c r="E21" s="75" t="s">
        <v>6</v>
      </c>
      <c r="F21" s="75"/>
      <c r="G21" s="83">
        <f>'Corr fuel price difference '!H69</f>
        <v>42434.380828019232</v>
      </c>
      <c r="H21" s="76"/>
    </row>
    <row r="22" spans="2:8">
      <c r="B22" s="74"/>
      <c r="C22" s="75" t="s">
        <v>174</v>
      </c>
      <c r="D22" s="75"/>
      <c r="E22" s="75" t="s">
        <v>1</v>
      </c>
      <c r="F22" s="75"/>
      <c r="G22" s="83">
        <f>'User tariff STUCO jul-dec 2018'!H16</f>
        <v>7089772.5</v>
      </c>
      <c r="H22" s="76"/>
    </row>
    <row r="23" spans="2:8">
      <c r="B23" s="74"/>
      <c r="C23" s="8" t="s">
        <v>149</v>
      </c>
      <c r="D23" s="75"/>
      <c r="E23" s="75" t="s">
        <v>4</v>
      </c>
      <c r="F23" s="75"/>
      <c r="G23" s="82">
        <f>G21/G22</f>
        <v>5.9852951315460734E-3</v>
      </c>
      <c r="H23" s="76"/>
    </row>
    <row r="24" spans="2:8">
      <c r="B24" s="74"/>
      <c r="C24" s="75"/>
      <c r="D24" s="75"/>
      <c r="E24" s="75"/>
      <c r="F24" s="75"/>
      <c r="G24" s="75"/>
      <c r="H24" s="76"/>
    </row>
    <row r="25" spans="2:8">
      <c r="B25" s="74"/>
      <c r="C25" s="80" t="s">
        <v>175</v>
      </c>
      <c r="D25" s="75"/>
      <c r="E25" s="75"/>
      <c r="F25" s="75"/>
      <c r="G25" s="75"/>
      <c r="H25" s="76"/>
    </row>
    <row r="26" spans="2:8">
      <c r="B26" s="74"/>
      <c r="C26" s="75" t="s">
        <v>83</v>
      </c>
      <c r="D26" s="75"/>
      <c r="E26" s="75" t="s">
        <v>4</v>
      </c>
      <c r="F26" s="75"/>
      <c r="G26" s="82">
        <f>'User tariff STUCO jul-dec 2018'!H20</f>
        <v>0.27322537743414588</v>
      </c>
      <c r="H26" s="76"/>
    </row>
    <row r="27" spans="2:8">
      <c r="B27" s="74"/>
      <c r="C27" s="84" t="s">
        <v>20</v>
      </c>
      <c r="D27" s="75"/>
      <c r="E27" s="75" t="s">
        <v>0</v>
      </c>
      <c r="F27" s="75"/>
      <c r="G27" s="85">
        <f>'User tariff STUCO jul-dec 2018'!H21</f>
        <v>0.12</v>
      </c>
      <c r="H27" s="76"/>
    </row>
    <row r="28" spans="2:8">
      <c r="B28" s="74"/>
      <c r="C28" s="84" t="s">
        <v>176</v>
      </c>
      <c r="D28" s="75"/>
      <c r="E28" s="75" t="s">
        <v>4</v>
      </c>
      <c r="F28" s="75"/>
      <c r="G28" s="82">
        <f>'User tariff STUCO jul-dec 2018'!H22</f>
        <v>0.31048338344789306</v>
      </c>
      <c r="H28" s="76"/>
    </row>
    <row r="29" spans="2:8">
      <c r="B29" s="86"/>
      <c r="C29" s="87"/>
      <c r="D29" s="87"/>
      <c r="E29" s="87"/>
      <c r="F29" s="87"/>
      <c r="G29" s="87"/>
      <c r="H29" s="88"/>
    </row>
    <row r="30" spans="2:8">
      <c r="C30" s="75"/>
      <c r="D30" s="75"/>
      <c r="E30" s="75"/>
      <c r="F30" s="75"/>
      <c r="G30" s="75"/>
      <c r="H30" s="7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heetViews>
  <sheetFormatPr defaultRowHeight="15"/>
  <cols>
    <col min="1" max="16384" width="9.140625" style="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Q71"/>
  <sheetViews>
    <sheetView showGridLines="0" zoomScale="85" zoomScaleNormal="85" workbookViewId="0">
      <pane xSplit="6" ySplit="9" topLeftCell="G22" activePane="bottomRight" state="frozen"/>
      <selection activeCell="Q51" sqref="Q51"/>
      <selection pane="topRight" activeCell="Q51" sqref="Q51"/>
      <selection pane="bottomLeft" activeCell="Q51" sqref="Q51"/>
      <selection pane="bottomRight"/>
    </sheetView>
  </sheetViews>
  <sheetFormatPr defaultRowHeight="12.75"/>
  <cols>
    <col min="1" max="1" width="4" style="8" customWidth="1"/>
    <col min="2" max="2" width="45.5703125" style="8" customWidth="1"/>
    <col min="3" max="5" width="4.5703125" style="8" customWidth="1"/>
    <col min="6" max="6" width="22.85546875" style="8" customWidth="1"/>
    <col min="7" max="7" width="2.7109375" style="8" customWidth="1"/>
    <col min="8" max="8" width="19.42578125" style="8" customWidth="1"/>
    <col min="9" max="9" width="2.7109375" style="8" customWidth="1"/>
    <col min="10" max="10" width="19.42578125" style="8" customWidth="1"/>
    <col min="11" max="11" width="2.7109375" style="8" customWidth="1"/>
    <col min="12" max="13" width="19.42578125" style="8" customWidth="1"/>
    <col min="14" max="14" width="2.7109375" style="8" customWidth="1"/>
    <col min="15" max="15" width="70.85546875" style="8" customWidth="1"/>
    <col min="16" max="16" width="2.7109375" style="8" customWidth="1"/>
    <col min="17" max="17" width="46" style="8" customWidth="1"/>
    <col min="18" max="18" width="2.7109375" style="8" customWidth="1"/>
    <col min="19" max="33" width="13.7109375" style="8" customWidth="1"/>
    <col min="34" max="16384" width="9.140625" style="8"/>
  </cols>
  <sheetData>
    <row r="2" spans="2:17" s="36" customFormat="1" ht="18">
      <c r="B2" s="2" t="s">
        <v>86</v>
      </c>
    </row>
    <row r="4" spans="2:17">
      <c r="B4" s="17" t="s">
        <v>87</v>
      </c>
      <c r="C4" s="17"/>
      <c r="D4" s="17"/>
    </row>
    <row r="5" spans="2:17">
      <c r="B5" s="8" t="s">
        <v>88</v>
      </c>
      <c r="C5" s="7"/>
      <c r="D5" s="7"/>
      <c r="H5" s="35"/>
    </row>
    <row r="6" spans="2:17">
      <c r="B6" s="8" t="s">
        <v>105</v>
      </c>
      <c r="C6" s="7"/>
      <c r="D6" s="7"/>
      <c r="H6" s="35"/>
    </row>
    <row r="8" spans="2:17" s="9" customFormat="1">
      <c r="B8" s="9" t="s">
        <v>30</v>
      </c>
      <c r="F8" s="9" t="s">
        <v>31</v>
      </c>
      <c r="H8" s="9" t="s">
        <v>32</v>
      </c>
      <c r="J8" s="9" t="s">
        <v>107</v>
      </c>
      <c r="L8" s="9" t="s">
        <v>108</v>
      </c>
      <c r="M8" s="9" t="s">
        <v>109</v>
      </c>
      <c r="O8" s="9" t="s">
        <v>47</v>
      </c>
      <c r="Q8" s="9" t="s">
        <v>48</v>
      </c>
    </row>
    <row r="11" spans="2:17" s="9" customFormat="1">
      <c r="B11" s="9" t="s">
        <v>89</v>
      </c>
    </row>
    <row r="13" spans="2:17">
      <c r="B13" s="17" t="s">
        <v>13</v>
      </c>
    </row>
    <row r="14" spans="2:17">
      <c r="B14" s="8" t="s">
        <v>110</v>
      </c>
      <c r="F14" s="3" t="s">
        <v>1</v>
      </c>
      <c r="J14" s="48">
        <f>L14+M14</f>
        <v>13904000</v>
      </c>
      <c r="L14" s="47">
        <v>10704000</v>
      </c>
      <c r="M14" s="47">
        <v>3200000</v>
      </c>
      <c r="O14" s="8" t="s">
        <v>151</v>
      </c>
    </row>
    <row r="16" spans="2:17">
      <c r="B16" s="8" t="s">
        <v>15</v>
      </c>
      <c r="F16" s="8" t="s">
        <v>4</v>
      </c>
      <c r="H16" s="46">
        <v>0.13778916744848457</v>
      </c>
      <c r="O16" s="8" t="s">
        <v>152</v>
      </c>
      <c r="Q16" s="13"/>
    </row>
    <row r="17" spans="2:15">
      <c r="B17" s="8" t="s">
        <v>16</v>
      </c>
      <c r="F17" s="8" t="s">
        <v>2</v>
      </c>
      <c r="H17" s="46">
        <v>0.26900000000000002</v>
      </c>
      <c r="O17" s="8" t="s">
        <v>151</v>
      </c>
    </row>
    <row r="18" spans="2:15">
      <c r="B18" s="8" t="s">
        <v>17</v>
      </c>
      <c r="F18" s="8" t="s">
        <v>3</v>
      </c>
      <c r="H18" s="46">
        <v>0.61699999999999999</v>
      </c>
      <c r="O18" s="8" t="s">
        <v>151</v>
      </c>
    </row>
    <row r="19" spans="2:15">
      <c r="B19" s="8" t="s">
        <v>18</v>
      </c>
      <c r="F19" s="8" t="s">
        <v>4</v>
      </c>
      <c r="H19" s="49">
        <f>H17*H18*(L14/J14)</f>
        <v>0.12777438089758344</v>
      </c>
    </row>
    <row r="21" spans="2:15">
      <c r="B21" s="8" t="s">
        <v>20</v>
      </c>
      <c r="F21" s="8" t="s">
        <v>0</v>
      </c>
      <c r="H21" s="50">
        <v>0.12</v>
      </c>
      <c r="O21" s="8" t="s">
        <v>152</v>
      </c>
    </row>
    <row r="23" spans="2:15">
      <c r="B23" s="17" t="s">
        <v>21</v>
      </c>
    </row>
    <row r="24" spans="2:15">
      <c r="B24" s="8" t="s">
        <v>22</v>
      </c>
      <c r="F24" s="8" t="s">
        <v>4</v>
      </c>
      <c r="H24" s="46">
        <v>0.2656</v>
      </c>
      <c r="O24" s="8" t="s">
        <v>152</v>
      </c>
    </row>
    <row r="25" spans="2:15">
      <c r="B25" s="8" t="s">
        <v>27</v>
      </c>
      <c r="F25" s="8" t="s">
        <v>4</v>
      </c>
      <c r="H25" s="46">
        <v>0.30180000000000001</v>
      </c>
      <c r="O25" s="8" t="s">
        <v>152</v>
      </c>
    </row>
    <row r="28" spans="2:15">
      <c r="B28" s="17" t="s">
        <v>24</v>
      </c>
    </row>
    <row r="29" spans="2:15">
      <c r="B29" s="8" t="s">
        <v>111</v>
      </c>
      <c r="F29" s="3" t="s">
        <v>1</v>
      </c>
      <c r="J29" s="48">
        <f>L29+M29</f>
        <v>14179545</v>
      </c>
      <c r="L29" s="47">
        <v>7881861.96</v>
      </c>
      <c r="M29" s="47">
        <v>6297683.04</v>
      </c>
      <c r="O29" s="8" t="s">
        <v>94</v>
      </c>
    </row>
    <row r="31" spans="2:15">
      <c r="B31" s="8" t="s">
        <v>15</v>
      </c>
      <c r="F31" s="8" t="s">
        <v>4</v>
      </c>
      <c r="H31" s="46">
        <v>0.15020001485176471</v>
      </c>
      <c r="O31" s="8" t="s">
        <v>94</v>
      </c>
    </row>
    <row r="32" spans="2:15">
      <c r="B32" s="8" t="s">
        <v>16</v>
      </c>
      <c r="F32" s="8" t="s">
        <v>2</v>
      </c>
      <c r="H32" s="46">
        <v>0.26700000000000002</v>
      </c>
      <c r="O32" s="8" t="s">
        <v>94</v>
      </c>
    </row>
    <row r="33" spans="2:17">
      <c r="B33" s="8" t="s">
        <v>17</v>
      </c>
      <c r="F33" s="8" t="s">
        <v>3</v>
      </c>
      <c r="H33" s="46">
        <v>0.66520000000000001</v>
      </c>
      <c r="O33" s="8" t="s">
        <v>94</v>
      </c>
    </row>
    <row r="34" spans="2:17">
      <c r="B34" s="8" t="s">
        <v>18</v>
      </c>
      <c r="F34" s="8" t="s">
        <v>4</v>
      </c>
      <c r="H34" s="49">
        <f>H32*H33*(L29/J29)</f>
        <v>9.8725656693248204E-2</v>
      </c>
    </row>
    <row r="36" spans="2:17">
      <c r="B36" s="8" t="s">
        <v>20</v>
      </c>
      <c r="F36" s="8" t="s">
        <v>0</v>
      </c>
      <c r="H36" s="50">
        <v>0.12</v>
      </c>
      <c r="O36" s="8" t="s">
        <v>94</v>
      </c>
    </row>
    <row r="38" spans="2:17">
      <c r="B38" s="17" t="s">
        <v>25</v>
      </c>
    </row>
    <row r="39" spans="2:17">
      <c r="B39" s="8" t="s">
        <v>26</v>
      </c>
      <c r="F39" s="8" t="s">
        <v>4</v>
      </c>
      <c r="H39" s="46">
        <v>0.24890000000000001</v>
      </c>
      <c r="O39" s="8" t="s">
        <v>94</v>
      </c>
    </row>
    <row r="40" spans="2:17">
      <c r="B40" s="8" t="s">
        <v>19</v>
      </c>
      <c r="F40" s="8" t="s">
        <v>4</v>
      </c>
      <c r="H40" s="46">
        <v>0.28289999999999998</v>
      </c>
      <c r="O40" s="8" t="s">
        <v>94</v>
      </c>
    </row>
    <row r="43" spans="2:17" s="9" customFormat="1">
      <c r="B43" s="9" t="s">
        <v>106</v>
      </c>
      <c r="J43" s="9" t="s">
        <v>107</v>
      </c>
      <c r="L43" s="9" t="s">
        <v>108</v>
      </c>
      <c r="M43" s="9" t="s">
        <v>109</v>
      </c>
      <c r="O43" s="9" t="s">
        <v>47</v>
      </c>
    </row>
    <row r="45" spans="2:17">
      <c r="B45" s="61">
        <v>42917</v>
      </c>
      <c r="F45" s="8" t="s">
        <v>1</v>
      </c>
      <c r="J45" s="52">
        <f>SUM(L45:M45)</f>
        <v>1314000</v>
      </c>
      <c r="L45" s="59">
        <v>925853</v>
      </c>
      <c r="M45" s="59">
        <v>388147</v>
      </c>
      <c r="O45" s="8" t="s">
        <v>143</v>
      </c>
    </row>
    <row r="46" spans="2:17">
      <c r="B46" s="61">
        <v>42948</v>
      </c>
      <c r="F46" s="8" t="s">
        <v>1</v>
      </c>
      <c r="J46" s="52">
        <f t="shared" ref="J46:J55" si="0">SUM(L46:M46)</f>
        <v>1369000</v>
      </c>
      <c r="L46" s="59">
        <v>995090</v>
      </c>
      <c r="M46" s="59">
        <v>373910</v>
      </c>
      <c r="O46" s="8" t="s">
        <v>144</v>
      </c>
      <c r="Q46" s="13"/>
    </row>
    <row r="47" spans="2:17">
      <c r="B47" s="61">
        <v>42979</v>
      </c>
      <c r="F47" s="8" t="s">
        <v>1</v>
      </c>
      <c r="J47" s="52">
        <f t="shared" si="0"/>
        <v>1141000</v>
      </c>
      <c r="L47" s="59">
        <v>905605</v>
      </c>
      <c r="M47" s="59">
        <v>235395</v>
      </c>
    </row>
    <row r="48" spans="2:17">
      <c r="B48" s="61">
        <v>43009</v>
      </c>
      <c r="F48" s="8" t="s">
        <v>1</v>
      </c>
      <c r="J48" s="52">
        <f t="shared" si="0"/>
        <v>1297000</v>
      </c>
      <c r="L48" s="59">
        <v>1010898</v>
      </c>
      <c r="M48" s="59">
        <v>286102</v>
      </c>
      <c r="O48" s="8" t="s">
        <v>161</v>
      </c>
      <c r="Q48" s="13"/>
    </row>
    <row r="49" spans="2:17">
      <c r="B49" s="61">
        <v>43040</v>
      </c>
      <c r="F49" s="8" t="s">
        <v>1</v>
      </c>
      <c r="J49" s="52">
        <f t="shared" si="0"/>
        <v>1184000</v>
      </c>
      <c r="L49" s="59">
        <v>757575</v>
      </c>
      <c r="M49" s="59">
        <v>426425</v>
      </c>
    </row>
    <row r="50" spans="2:17">
      <c r="B50" s="61">
        <v>43070</v>
      </c>
      <c r="F50" s="8" t="s">
        <v>1</v>
      </c>
      <c r="J50" s="52">
        <f t="shared" si="0"/>
        <v>1075000</v>
      </c>
      <c r="L50" s="59">
        <v>631415</v>
      </c>
      <c r="M50" s="59">
        <v>443585</v>
      </c>
    </row>
    <row r="51" spans="2:17">
      <c r="B51" s="61">
        <v>43101</v>
      </c>
      <c r="F51" s="8" t="s">
        <v>1</v>
      </c>
      <c r="J51" s="52">
        <f t="shared" si="0"/>
        <v>1072000</v>
      </c>
      <c r="L51" s="59">
        <v>581505</v>
      </c>
      <c r="M51" s="59">
        <v>490495</v>
      </c>
    </row>
    <row r="52" spans="2:17">
      <c r="B52" s="61">
        <v>43132</v>
      </c>
      <c r="F52" s="8" t="s">
        <v>1</v>
      </c>
      <c r="J52" s="52">
        <f t="shared" si="0"/>
        <v>910000</v>
      </c>
      <c r="L52" s="59">
        <v>454524</v>
      </c>
      <c r="M52" s="59">
        <v>455476</v>
      </c>
    </row>
    <row r="53" spans="2:17">
      <c r="B53" s="61">
        <v>43160</v>
      </c>
      <c r="F53" s="8" t="s">
        <v>1</v>
      </c>
      <c r="J53" s="52">
        <f t="shared" si="0"/>
        <v>1142000</v>
      </c>
      <c r="L53" s="59">
        <v>607198</v>
      </c>
      <c r="M53" s="59">
        <v>534802</v>
      </c>
    </row>
    <row r="54" spans="2:17">
      <c r="B54" s="61">
        <v>43191</v>
      </c>
      <c r="F54" s="8" t="s">
        <v>1</v>
      </c>
      <c r="J54" s="52">
        <f t="shared" si="0"/>
        <v>1175000</v>
      </c>
      <c r="L54" s="59">
        <v>575137</v>
      </c>
      <c r="M54" s="59">
        <v>599863</v>
      </c>
    </row>
    <row r="55" spans="2:17">
      <c r="B55" s="61">
        <v>43221</v>
      </c>
      <c r="F55" s="8" t="s">
        <v>1</v>
      </c>
      <c r="J55" s="52">
        <f t="shared" si="0"/>
        <v>1185234</v>
      </c>
      <c r="L55" s="59">
        <v>577245</v>
      </c>
      <c r="M55" s="59">
        <v>607989</v>
      </c>
      <c r="O55" s="7" t="s">
        <v>162</v>
      </c>
      <c r="Q55" s="13"/>
    </row>
    <row r="56" spans="2:17">
      <c r="B56" s="58"/>
    </row>
    <row r="57" spans="2:17" ht="15.75">
      <c r="B57" s="58"/>
      <c r="L57" s="70"/>
    </row>
    <row r="59" spans="2:17" ht="15.75">
      <c r="H59" s="60"/>
      <c r="I59" s="7"/>
      <c r="J59" s="7"/>
      <c r="K59" s="7"/>
      <c r="L59" s="7"/>
    </row>
    <row r="60" spans="2:17" ht="15.75">
      <c r="H60" s="60"/>
      <c r="I60" s="7"/>
      <c r="J60" s="7"/>
      <c r="K60" s="7"/>
      <c r="L60" s="7"/>
    </row>
    <row r="61" spans="2:17" ht="15.75">
      <c r="H61" s="60"/>
      <c r="I61" s="7"/>
      <c r="J61" s="68"/>
      <c r="K61" s="7"/>
      <c r="L61" s="7"/>
    </row>
    <row r="62" spans="2:17" ht="15.75">
      <c r="H62" s="60"/>
      <c r="I62" s="7"/>
      <c r="J62" s="69"/>
      <c r="K62" s="7"/>
      <c r="L62" s="7"/>
    </row>
    <row r="63" spans="2:17" ht="15.75">
      <c r="H63" s="60"/>
      <c r="I63" s="7"/>
      <c r="J63" s="69"/>
      <c r="K63" s="7"/>
      <c r="L63" s="7"/>
    </row>
    <row r="64" spans="2:17" ht="15.75">
      <c r="H64" s="60"/>
      <c r="I64" s="7"/>
      <c r="J64" s="69"/>
      <c r="K64" s="7"/>
      <c r="L64" s="7"/>
    </row>
    <row r="65" spans="8:12" ht="15.75">
      <c r="H65" s="60"/>
      <c r="I65" s="7"/>
      <c r="J65" s="69"/>
      <c r="K65" s="7"/>
      <c r="L65" s="7"/>
    </row>
    <row r="66" spans="8:12" ht="15.75">
      <c r="H66" s="60"/>
      <c r="I66" s="7"/>
      <c r="J66" s="69"/>
      <c r="K66" s="7"/>
      <c r="L66" s="7"/>
    </row>
    <row r="67" spans="8:12" ht="15.75">
      <c r="H67" s="60"/>
      <c r="I67" s="7"/>
      <c r="J67" s="69"/>
      <c r="K67" s="7"/>
      <c r="L67" s="7"/>
    </row>
    <row r="68" spans="8:12" ht="15.75">
      <c r="H68" s="60"/>
      <c r="I68" s="7"/>
      <c r="J68" s="69"/>
      <c r="K68" s="7"/>
      <c r="L68" s="7"/>
    </row>
    <row r="69" spans="8:12" ht="15.75">
      <c r="J69" s="69"/>
    </row>
    <row r="70" spans="8:12" ht="15.75">
      <c r="J70" s="69"/>
    </row>
    <row r="71" spans="8:12" ht="15.75">
      <c r="J71" s="6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L32"/>
  <sheetViews>
    <sheetView showGridLines="0" zoomScale="85" zoomScaleNormal="85" workbookViewId="0">
      <pane xSplit="6" ySplit="9" topLeftCell="G10" activePane="bottomRight" state="frozen"/>
      <selection activeCell="Q51" sqref="Q51"/>
      <selection pane="topRight" activeCell="Q51" sqref="Q51"/>
      <selection pane="bottomLeft" activeCell="Q51" sqref="Q51"/>
      <selection pane="bottomRight" activeCell="H32" sqref="H32"/>
    </sheetView>
  </sheetViews>
  <sheetFormatPr defaultRowHeight="12.75"/>
  <cols>
    <col min="1" max="1" width="4" style="8" customWidth="1"/>
    <col min="2" max="2" width="41.42578125" style="8" customWidth="1"/>
    <col min="3" max="3" width="4.5703125" style="8" customWidth="1"/>
    <col min="4" max="4" width="29.85546875" style="8" customWidth="1"/>
    <col min="5" max="5" width="2.7109375" style="8" customWidth="1"/>
    <col min="6" max="6" width="22.85546875" style="8" customWidth="1"/>
    <col min="7" max="7" width="2.7109375" style="8" customWidth="1"/>
    <col min="8" max="8" width="13.7109375" style="8" customWidth="1"/>
    <col min="9" max="9" width="2.7109375" style="8" customWidth="1"/>
    <col min="10" max="10" width="43.28515625" style="8" customWidth="1"/>
    <col min="11" max="11" width="2.7109375" style="8" customWidth="1"/>
    <col min="12" max="12" width="13.7109375" style="8" customWidth="1"/>
    <col min="13" max="13" width="2.7109375" style="8" customWidth="1"/>
    <col min="14" max="28" width="13.7109375" style="8" customWidth="1"/>
    <col min="29" max="16384" width="9.140625" style="8"/>
  </cols>
  <sheetData>
    <row r="2" spans="2:10" s="36" customFormat="1" ht="18">
      <c r="B2" s="2" t="s">
        <v>153</v>
      </c>
    </row>
    <row r="4" spans="2:10">
      <c r="B4" s="17" t="s">
        <v>87</v>
      </c>
      <c r="C4" s="17"/>
      <c r="D4" s="17"/>
    </row>
    <row r="5" spans="2:10">
      <c r="B5" s="7" t="s">
        <v>90</v>
      </c>
      <c r="C5" s="7"/>
      <c r="D5" s="7"/>
      <c r="H5" s="35"/>
    </row>
    <row r="6" spans="2:10">
      <c r="B6" s="8" t="s">
        <v>154</v>
      </c>
      <c r="C6" s="7"/>
      <c r="D6" s="7"/>
      <c r="H6" s="35"/>
    </row>
    <row r="8" spans="2:10" s="9" customFormat="1">
      <c r="B8" s="9" t="s">
        <v>30</v>
      </c>
      <c r="F8" s="9" t="s">
        <v>31</v>
      </c>
      <c r="H8" s="9" t="s">
        <v>32</v>
      </c>
      <c r="J8" s="9" t="s">
        <v>47</v>
      </c>
    </row>
    <row r="11" spans="2:10" s="9" customFormat="1">
      <c r="B11" s="9" t="s">
        <v>41</v>
      </c>
    </row>
    <row r="13" spans="2:10">
      <c r="B13" s="8" t="s">
        <v>42</v>
      </c>
      <c r="F13" s="8" t="s">
        <v>0</v>
      </c>
      <c r="H13" s="50">
        <v>2.1000000000000001E-2</v>
      </c>
      <c r="J13" s="8" t="s">
        <v>43</v>
      </c>
    </row>
    <row r="15" spans="2:10">
      <c r="H15" s="7"/>
    </row>
    <row r="16" spans="2:10" s="9" customFormat="1">
      <c r="B16" s="9" t="s">
        <v>104</v>
      </c>
      <c r="H16" s="37"/>
    </row>
    <row r="17" spans="2:12">
      <c r="H17" s="7"/>
    </row>
    <row r="18" spans="2:12">
      <c r="B18" s="61" t="s">
        <v>113</v>
      </c>
      <c r="C18" s="54"/>
      <c r="F18" s="54" t="s">
        <v>3</v>
      </c>
      <c r="H18" s="67">
        <v>0.60999879320151629</v>
      </c>
      <c r="J18" s="8" t="s">
        <v>159</v>
      </c>
      <c r="L18" s="13"/>
    </row>
    <row r="19" spans="2:12">
      <c r="B19" s="61" t="s">
        <v>114</v>
      </c>
      <c r="C19" s="54"/>
      <c r="F19" s="54" t="s">
        <v>3</v>
      </c>
      <c r="H19" s="67">
        <v>0.58622894559632877</v>
      </c>
      <c r="L19" s="13"/>
    </row>
    <row r="20" spans="2:12">
      <c r="B20" s="61" t="s">
        <v>115</v>
      </c>
      <c r="C20" s="54"/>
      <c r="F20" s="54" t="s">
        <v>3</v>
      </c>
      <c r="H20" s="57">
        <v>0.59110397891208011</v>
      </c>
    </row>
    <row r="21" spans="2:12">
      <c r="B21" s="61" t="s">
        <v>116</v>
      </c>
      <c r="C21" s="55"/>
      <c r="F21" s="54" t="s">
        <v>3</v>
      </c>
      <c r="H21" s="57">
        <v>0.61899358771060464</v>
      </c>
    </row>
    <row r="22" spans="2:12">
      <c r="B22" s="61" t="s">
        <v>117</v>
      </c>
      <c r="C22" s="55"/>
      <c r="F22" s="54" t="s">
        <v>3</v>
      </c>
      <c r="H22" s="57">
        <v>0.65098140717344555</v>
      </c>
    </row>
    <row r="23" spans="2:12">
      <c r="B23" s="61" t="s">
        <v>118</v>
      </c>
      <c r="C23" s="56"/>
      <c r="F23" s="54" t="s">
        <v>3</v>
      </c>
      <c r="H23" s="57">
        <v>0.66128885825784989</v>
      </c>
    </row>
    <row r="24" spans="2:12">
      <c r="B24" s="61" t="s">
        <v>119</v>
      </c>
      <c r="C24" s="55"/>
      <c r="F24" s="54" t="s">
        <v>3</v>
      </c>
      <c r="H24" s="57">
        <v>0.70585168376890717</v>
      </c>
    </row>
    <row r="25" spans="2:12">
      <c r="B25" s="61" t="s">
        <v>120</v>
      </c>
      <c r="C25" s="55"/>
      <c r="F25" s="54" t="s">
        <v>3</v>
      </c>
      <c r="H25" s="57">
        <v>0.70279999999999987</v>
      </c>
    </row>
    <row r="26" spans="2:12">
      <c r="B26" s="61" t="s">
        <v>122</v>
      </c>
      <c r="C26" s="55"/>
      <c r="F26" s="54" t="s">
        <v>3</v>
      </c>
      <c r="H26" s="57">
        <v>0.73851867299732166</v>
      </c>
    </row>
    <row r="27" spans="2:12">
      <c r="B27" s="61" t="s">
        <v>121</v>
      </c>
      <c r="C27" s="55"/>
      <c r="F27" s="54" t="s">
        <v>3</v>
      </c>
      <c r="H27" s="57">
        <v>0.7183957308174711</v>
      </c>
    </row>
    <row r="28" spans="2:12">
      <c r="B28" s="61" t="s">
        <v>123</v>
      </c>
      <c r="C28" s="56"/>
      <c r="F28" s="54" t="s">
        <v>3</v>
      </c>
      <c r="H28" s="57">
        <v>0.70668825287771952</v>
      </c>
    </row>
    <row r="29" spans="2:12">
      <c r="B29" s="61" t="s">
        <v>124</v>
      </c>
      <c r="C29" s="55"/>
      <c r="F29" s="54" t="s">
        <v>3</v>
      </c>
      <c r="H29" s="57">
        <v>0.74103832248170842</v>
      </c>
    </row>
    <row r="30" spans="2:12">
      <c r="B30" s="61" t="s">
        <v>125</v>
      </c>
      <c r="C30" s="56"/>
      <c r="F30" s="54" t="s">
        <v>3</v>
      </c>
      <c r="H30" s="57">
        <v>0.7851748817002655</v>
      </c>
    </row>
    <row r="32" spans="2:12">
      <c r="B32" s="8" t="s">
        <v>155</v>
      </c>
      <c r="F32" s="54" t="s">
        <v>3</v>
      </c>
      <c r="H32" s="57">
        <v>0.78859999999999997</v>
      </c>
      <c r="J32" s="8" t="s">
        <v>179</v>
      </c>
      <c r="L32" s="13"/>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heetViews>
  <sheetFormatPr defaultRowHeight="15"/>
  <cols>
    <col min="1" max="16384" width="9.140625" style="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Front Page</vt:lpstr>
      <vt:lpstr>Explanatory Notes</vt:lpstr>
      <vt:lpstr>Result -&gt;</vt:lpstr>
      <vt:lpstr>User tariff STUCO jul-dec 2018</vt:lpstr>
      <vt:lpstr>Appendix 1 </vt:lpstr>
      <vt:lpstr>Input-&gt;</vt:lpstr>
      <vt:lpstr>Input data production</vt:lpstr>
      <vt:lpstr>Input data fuel prices</vt:lpstr>
      <vt:lpstr>Calculations--&gt;</vt:lpstr>
      <vt:lpstr>New estimation production price</vt:lpstr>
      <vt:lpstr>Corr fuel price difference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Rekenmodel bij aanpassing variabel tarief 1 juli 2018 Sint Eustatius</dc:title>
  <dc:creator>Autoriteit Consument &amp; Markt (ACM)</dc:creator>
  <cp:keywords>caribisch nederland; elektriciteit; tarieven</cp:keywords>
  <cp:lastModifiedBy/>
  <dcterms:created xsi:type="dcterms:W3CDTF">2006-09-16T00:00:00Z</dcterms:created>
  <dcterms:modified xsi:type="dcterms:W3CDTF">2018-06-19T06:44:41Z</dcterms:modified>
</cp:coreProperties>
</file>