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5" yWindow="1050" windowWidth="9435" windowHeight="7035" tabRatio="754" activeTab="6"/>
  </bookViews>
  <sheets>
    <sheet name="Explanation" sheetId="6" r:id="rId1"/>
    <sheet name="Input" sheetId="5" r:id="rId2"/>
    <sheet name="Tariff categories" sheetId="1" r:id="rId3"/>
    <sheet name="Costs Electricity" sheetId="2" r:id="rId4"/>
    <sheet name="CPI CN" sheetId="16" r:id="rId5"/>
    <sheet name="Income level Electricity" sheetId="12" r:id="rId6"/>
    <sheet name="Calculation Electricity" sheetId="3" r:id="rId7"/>
  </sheets>
  <calcPr calcId="145621"/>
</workbook>
</file>

<file path=xl/calcChain.xml><?xml version="1.0" encoding="utf-8"?>
<calcChain xmlns="http://schemas.openxmlformats.org/spreadsheetml/2006/main">
  <c r="E36" i="2" l="1"/>
  <c r="E34" i="2"/>
  <c r="E66" i="2" l="1"/>
  <c r="E60" i="2"/>
  <c r="F25" i="3"/>
  <c r="F24" i="3"/>
  <c r="D15" i="5" l="1"/>
  <c r="D16" i="5" s="1"/>
  <c r="E7" i="3" s="1"/>
  <c r="E68" i="2" l="1"/>
  <c r="D36" i="12" s="1"/>
  <c r="C24" i="3" l="1"/>
  <c r="C25" i="3"/>
  <c r="D11" i="12" l="1"/>
  <c r="D5" i="5" l="1"/>
  <c r="F27" i="16"/>
  <c r="F32" i="16" s="1"/>
  <c r="E27" i="16"/>
  <c r="E32" i="16" s="1"/>
  <c r="D6" i="5" s="1"/>
  <c r="D27" i="16"/>
  <c r="D32" i="16" s="1"/>
  <c r="F26" i="16"/>
  <c r="F31" i="16" s="1"/>
  <c r="E26" i="16"/>
  <c r="E31" i="16" s="1"/>
  <c r="D26" i="16"/>
  <c r="D31" i="16" s="1"/>
  <c r="E21" i="2" l="1"/>
  <c r="E25" i="2" s="1"/>
  <c r="D19" i="12" s="1"/>
  <c r="E13" i="2"/>
  <c r="E24" i="2" s="1"/>
  <c r="D18" i="12" s="1"/>
  <c r="D23" i="12" l="1"/>
  <c r="D13" i="12" l="1"/>
  <c r="D12" i="12"/>
  <c r="E13" i="3" l="1"/>
  <c r="E14" i="3" s="1"/>
  <c r="E45" i="2" l="1"/>
  <c r="E47" i="2" s="1"/>
  <c r="D22" i="12" s="1"/>
  <c r="C26" i="3" l="1"/>
  <c r="C27" i="3"/>
  <c r="C28" i="3"/>
  <c r="C29" i="3"/>
  <c r="C30" i="3"/>
  <c r="C31" i="3"/>
  <c r="C32" i="3"/>
  <c r="C33" i="3"/>
  <c r="C35" i="3"/>
  <c r="C36" i="3"/>
  <c r="C37" i="3"/>
  <c r="C38" i="3"/>
  <c r="C39" i="3"/>
  <c r="C40" i="3"/>
  <c r="D25" i="1"/>
  <c r="B25" i="3"/>
  <c r="D25" i="3"/>
  <c r="B26" i="3"/>
  <c r="D26" i="3"/>
  <c r="B27" i="3"/>
  <c r="D27" i="3"/>
  <c r="B28" i="3"/>
  <c r="D28" i="3"/>
  <c r="B29" i="3"/>
  <c r="D29" i="3"/>
  <c r="B30" i="3"/>
  <c r="D30" i="3"/>
  <c r="B31" i="3"/>
  <c r="D31" i="3"/>
  <c r="B32" i="3"/>
  <c r="D32" i="3"/>
  <c r="B33" i="3"/>
  <c r="D33" i="3"/>
  <c r="B34" i="3"/>
  <c r="D34" i="3"/>
  <c r="B35" i="3"/>
  <c r="D35" i="3"/>
  <c r="B36" i="3"/>
  <c r="D36" i="3"/>
  <c r="B37" i="3"/>
  <c r="D37" i="3"/>
  <c r="B38" i="3"/>
  <c r="D38" i="3"/>
  <c r="B39" i="3"/>
  <c r="D39" i="3"/>
  <c r="B40" i="3"/>
  <c r="D40" i="3"/>
  <c r="D24" i="3"/>
  <c r="B24" i="3"/>
  <c r="D41" i="3" l="1"/>
  <c r="E18" i="3"/>
  <c r="D20" i="12"/>
  <c r="D21" i="12" s="1"/>
  <c r="D24" i="12" s="1"/>
  <c r="D44" i="12" l="1"/>
  <c r="J40" i="3" l="1"/>
  <c r="J39" i="3"/>
  <c r="J32" i="3" l="1"/>
  <c r="J35" i="3"/>
  <c r="J36" i="3"/>
  <c r="J29" i="3"/>
  <c r="J31" i="3"/>
  <c r="J33" i="3"/>
  <c r="J34" i="3"/>
  <c r="J24" i="3"/>
  <c r="J30" i="3"/>
  <c r="J26" i="3"/>
  <c r="J25" i="3"/>
  <c r="J38" i="3"/>
  <c r="J27" i="3"/>
  <c r="J28" i="3"/>
  <c r="J37" i="3"/>
  <c r="J41" i="3" l="1"/>
  <c r="J43" i="3" s="1"/>
  <c r="E61" i="2" l="1"/>
  <c r="E62" i="2"/>
  <c r="D37" i="12" s="1"/>
  <c r="D38" i="12" s="1"/>
  <c r="D45" i="12" l="1"/>
  <c r="D46" i="12" s="1"/>
  <c r="D49" i="12" s="1"/>
  <c r="E17" i="3" l="1"/>
  <c r="E19" i="3"/>
  <c r="E20" i="3" s="1"/>
  <c r="E34" i="3" l="1"/>
  <c r="E26" i="3"/>
  <c r="E32" i="3"/>
  <c r="E38" i="3"/>
  <c r="E28" i="3"/>
  <c r="E31" i="3"/>
  <c r="E27" i="3"/>
  <c r="E25" i="3"/>
  <c r="E37" i="3"/>
  <c r="E29" i="3"/>
  <c r="E36" i="3"/>
  <c r="E40" i="3"/>
  <c r="E35" i="3"/>
  <c r="E33" i="3"/>
  <c r="E30" i="3"/>
  <c r="E24" i="3"/>
  <c r="E39" i="3"/>
  <c r="G39" i="3" l="1"/>
  <c r="I39" i="3"/>
  <c r="I30" i="3"/>
  <c r="G30" i="3"/>
  <c r="I36" i="3"/>
  <c r="G36" i="3"/>
  <c r="I37" i="3"/>
  <c r="G37" i="3"/>
  <c r="I27" i="3"/>
  <c r="G27" i="3"/>
  <c r="I28" i="3"/>
  <c r="G28" i="3"/>
  <c r="I34" i="3"/>
  <c r="G34" i="3"/>
  <c r="G24" i="3"/>
  <c r="I24" i="3"/>
  <c r="I33" i="3"/>
  <c r="G33" i="3"/>
  <c r="G40" i="3"/>
  <c r="I40" i="3"/>
  <c r="G29" i="3"/>
  <c r="I29" i="3"/>
  <c r="I25" i="3"/>
  <c r="G25" i="3"/>
  <c r="I31" i="3"/>
  <c r="G31" i="3"/>
  <c r="G38" i="3"/>
  <c r="I38" i="3"/>
  <c r="G26" i="3"/>
  <c r="I26" i="3"/>
  <c r="I35" i="3"/>
  <c r="G35" i="3"/>
  <c r="I32" i="3"/>
  <c r="G32" i="3"/>
  <c r="I41" i="3" l="1"/>
  <c r="G43" i="3"/>
  <c r="I43" i="3" l="1"/>
</calcChain>
</file>

<file path=xl/comments1.xml><?xml version="1.0" encoding="utf-8"?>
<comments xmlns="http://schemas.openxmlformats.org/spreadsheetml/2006/main">
  <authors>
    <author>Adriaansen, Paul</author>
  </authors>
  <commentList>
    <comment ref="E19" authorId="0">
      <text>
        <r>
          <rPr>
            <sz val="8"/>
            <color indexed="81"/>
            <rFont val="Tahoma"/>
            <family val="2"/>
          </rPr>
          <t>This level has slightly changed compared to the production price calculation (120,31)</t>
        </r>
      </text>
    </comment>
    <comment ref="F19" authorId="0">
      <text>
        <r>
          <rPr>
            <sz val="8"/>
            <color indexed="81"/>
            <rFont val="Tahoma"/>
            <family val="2"/>
          </rPr>
          <t>This level has slightly changed compared to the production price calculation (114,51)</t>
        </r>
      </text>
    </comment>
  </commentList>
</comments>
</file>

<file path=xl/sharedStrings.xml><?xml version="1.0" encoding="utf-8"?>
<sst xmlns="http://schemas.openxmlformats.org/spreadsheetml/2006/main" count="348" uniqueCount="228">
  <si>
    <t>Tariff category (KVA)</t>
  </si>
  <si>
    <t># customers</t>
  </si>
  <si>
    <t>TOTAL</t>
  </si>
  <si>
    <t>Total</t>
  </si>
  <si>
    <t>%</t>
  </si>
  <si>
    <t>Total capital costs</t>
  </si>
  <si>
    <t>Operational costs</t>
  </si>
  <si>
    <t>Total costs</t>
  </si>
  <si>
    <t>Production price</t>
  </si>
  <si>
    <t>Production price:</t>
  </si>
  <si>
    <t>Distribution tariffs</t>
  </si>
  <si>
    <t># connections</t>
  </si>
  <si>
    <t>Subsidy</t>
  </si>
  <si>
    <t>Amount</t>
  </si>
  <si>
    <t>USD</t>
  </si>
  <si>
    <t>USD/kWh</t>
  </si>
  <si>
    <t>In this sheet all input variables can be set</t>
  </si>
  <si>
    <t>In this sheet the tariff categories can be filled out</t>
  </si>
  <si>
    <t>Electricity</t>
  </si>
  <si>
    <t>Production volume</t>
  </si>
  <si>
    <t>(USD - monthly)</t>
  </si>
  <si>
    <t>Capacity tariff excl subs</t>
  </si>
  <si>
    <t>Inflation 2016</t>
  </si>
  <si>
    <t>Fuse 25 - V127 (3175KVA)</t>
  </si>
  <si>
    <t>Fuse 35 - 2-phase - V220 (7700)</t>
  </si>
  <si>
    <t>Fuse 50 - 2-phase - V220 (11000)</t>
  </si>
  <si>
    <t>Fuse 63 - 2-phase - V220 (13860)</t>
  </si>
  <si>
    <t>Fuse 35 - 3-phase - V220 (13300)</t>
  </si>
  <si>
    <t>Fuse 50 - 3-phase - V220 (19000</t>
  </si>
  <si>
    <t>Fuse 63 - 3-phase - V220 (23940)</t>
  </si>
  <si>
    <t>Fuse 80 - 3-phase - V220 (30400)</t>
  </si>
  <si>
    <t>Fuse 100 - 3-phase - V220 (38000)</t>
  </si>
  <si>
    <t>Fuse 160 - 3-phase - V220 (60800)</t>
  </si>
  <si>
    <t>Fuse 125 - 3-phase - V220 (47500)</t>
  </si>
  <si>
    <t>Fuse 200 - 3-phase - V220 (76000)</t>
  </si>
  <si>
    <t>Fuse 225 - 3-phase - V220 (85500)</t>
  </si>
  <si>
    <t>Fuse 250 - 3-phase - V220 (95000)</t>
  </si>
  <si>
    <t>Fuse 315 - 3-phase - V220 (119700)</t>
  </si>
  <si>
    <t>Fuse 350 - 3-phase - V220 (133000)</t>
  </si>
  <si>
    <t>Fuse 400 - 3-phase - V220 (152000)</t>
  </si>
  <si>
    <t>KVA</t>
  </si>
  <si>
    <t>In this sheet the costs can be filled out</t>
  </si>
  <si>
    <t>TOTAL OPERATIONAL COSTS</t>
  </si>
  <si>
    <t>Main category</t>
  </si>
  <si>
    <t>General OPEX</t>
  </si>
  <si>
    <t>Own usage</t>
  </si>
  <si>
    <t>Note</t>
  </si>
  <si>
    <t>Variable distribution tariff</t>
  </si>
  <si>
    <t>Electricity loss on grid (%)</t>
  </si>
  <si>
    <t>New connection tariff</t>
  </si>
  <si>
    <t>Connection and reconnection tariff</t>
  </si>
  <si>
    <t>In this sheet the costs are used to estimate income levels per activity</t>
  </si>
  <si>
    <t>Costs levels 2015 for determination of income levels 2017</t>
  </si>
  <si>
    <t>WACC &amp; inflation</t>
  </si>
  <si>
    <t>Total asset value (nominal)</t>
  </si>
  <si>
    <t>Total depreciation (nominal)</t>
  </si>
  <si>
    <t>Reasonable return (nominal)</t>
  </si>
  <si>
    <t>Inflation 2017</t>
  </si>
  <si>
    <t>WACC2017</t>
  </si>
  <si>
    <t>WACC 2017</t>
  </si>
  <si>
    <t>USD (price level 2015)</t>
  </si>
  <si>
    <t>USD (price level 2017)</t>
  </si>
  <si>
    <t>Income level 2017</t>
  </si>
  <si>
    <t>kWh electricity tariff</t>
  </si>
  <si>
    <t>Income level for distribution</t>
  </si>
  <si>
    <t>Total capacity network users (in kVA)</t>
  </si>
  <si>
    <t>Total OPEX (excluding fuel costs)</t>
  </si>
  <si>
    <t>Source: number of customers based on data sent by STUCO on 11 november 2016</t>
  </si>
  <si>
    <t>Total Land &amp; buildings</t>
  </si>
  <si>
    <t>Total Machinery &amp; Equipment</t>
  </si>
  <si>
    <t>Total Distribution network &amp; generators</t>
  </si>
  <si>
    <t>Total Furniture &amp; Equipment</t>
  </si>
  <si>
    <t>Total Computer Hardware &amp; Software</t>
  </si>
  <si>
    <t>Depreciation 2015</t>
  </si>
  <si>
    <t>Normative calculation of costs of bad debts</t>
  </si>
  <si>
    <t>Normative % for write-offs on bad debt</t>
  </si>
  <si>
    <t>#</t>
  </si>
  <si>
    <t xml:space="preserve">Expected costs of bad debts </t>
  </si>
  <si>
    <t>Source: ACM Analysis on 2015 cost data from STUCO (separate file)</t>
  </si>
  <si>
    <t>Source: separate analysis on OPEX and Other Income</t>
  </si>
  <si>
    <t>(based on email by STUCO, from 11-11-2016)</t>
  </si>
  <si>
    <t xml:space="preserve">Total income </t>
  </si>
  <si>
    <t>Total subsidy</t>
  </si>
  <si>
    <t xml:space="preserve"> (USD/yr)</t>
  </si>
  <si>
    <t>(USD/yr)</t>
  </si>
  <si>
    <t>final WACC-method</t>
  </si>
  <si>
    <t>First the cost levels of 2015 are taken from the earlier calculation, these are costs in the price level of 2015</t>
  </si>
  <si>
    <t>Extra costs for new activities or developments since 2015</t>
  </si>
  <si>
    <t>Then we estimate extra costs for new activities (if any) or developments we expect since 2015 that need to be reflected in the income level for 2017.</t>
  </si>
  <si>
    <t>Also the expected income from other activities (not regulated by ACM) are taken into account, these are substracted from the expected cost levels.</t>
  </si>
  <si>
    <t>Finally we calculate the estimated income levels by applying the inflation percentage to the costs levels.</t>
  </si>
  <si>
    <t>Other non-regulated income, to be netted</t>
  </si>
  <si>
    <t>Separate calculation of costs and income levels for (re)connection</t>
  </si>
  <si>
    <t>Other income from non-regulated activities and (re)connection fees</t>
  </si>
  <si>
    <t>Capital costs</t>
  </si>
  <si>
    <t>Estimated costs per (re)connection</t>
  </si>
  <si>
    <t>Number of reconnections 2015</t>
  </si>
  <si>
    <t>Based on info STUCO</t>
  </si>
  <si>
    <t>Number of (re)connections 2015</t>
  </si>
  <si>
    <t>Number of new connections 2015</t>
  </si>
  <si>
    <t>DATA ON RAV STUCO: RAV 1-1-2016</t>
  </si>
  <si>
    <t>USD, price level 2015</t>
  </si>
  <si>
    <t>DATA ON RAV STUCO: Depreciation</t>
  </si>
  <si>
    <t>RAV 1-1-2016</t>
  </si>
  <si>
    <t>OPEX Resulting from separate analysis (excl. bad debts)</t>
  </si>
  <si>
    <t>Normative cost allowance for bad debt</t>
  </si>
  <si>
    <t>Capacity tariff incl subsidy</t>
  </si>
  <si>
    <t>Tariff for reconnection</t>
  </si>
  <si>
    <t>All in price level 2017</t>
  </si>
  <si>
    <t>Fixed distribution tariff</t>
  </si>
  <si>
    <t>MWh</t>
  </si>
  <si>
    <t>Calculation Consumer Price Index - Caribisch Nederland</t>
  </si>
  <si>
    <t>For the calculation of electricity and water tariffs consumer price index (CPI) figures are used to compensate for price fluctuations.</t>
  </si>
  <si>
    <t>These figures are calculated by Centraal Bureau voor de Statistiek, separately for Bonaire, St. Eustatius and Saba.</t>
  </si>
  <si>
    <t>In our method we estimate the inflation for year T (the year for which we set tariffs), by looking at the most recent number on inflation between year T-1 and year T-2.</t>
  </si>
  <si>
    <t>CBS calculates the CPI quarterly, which means we can use the CPI figures of the 'derde kwartaal' (Q3) of each year.</t>
  </si>
  <si>
    <t>This closely resembles the method used in the Netherlands, where we use the CPI figures of August of each year.</t>
  </si>
  <si>
    <t>CPI Data</t>
  </si>
  <si>
    <t xml:space="preserve">Consumer Price Index levels </t>
  </si>
  <si>
    <t>(2010 = 100%)</t>
  </si>
  <si>
    <t>Bonaire</t>
  </si>
  <si>
    <t>St. Eustatius</t>
  </si>
  <si>
    <t>Saba</t>
  </si>
  <si>
    <t>2014 3e kwartaal</t>
  </si>
  <si>
    <t>CPI</t>
  </si>
  <si>
    <t>2015 3e kwartaal</t>
  </si>
  <si>
    <t>2016 3e kwartaal</t>
  </si>
  <si>
    <t xml:space="preserve">source CBS: </t>
  </si>
  <si>
    <t>http://statline.cbs.nl/Statweb/publication/?DM=SLNL&amp;PA=81122NED&amp;D1=0-2&amp;D2=0&amp;D3=a&amp;D4=a&amp;VW=T</t>
  </si>
  <si>
    <t>Estimated inflation</t>
  </si>
  <si>
    <t>Calculated year-on-year inflation 2015 Q3</t>
  </si>
  <si>
    <t>Calculated year-on-year inflation 2016 Q3</t>
  </si>
  <si>
    <t>Estimated inflation levels used in tariff calculations (rounded at 1 decimal)</t>
  </si>
  <si>
    <t>Estimated inflation 2016</t>
  </si>
  <si>
    <t>Estimated inflation 2017</t>
  </si>
  <si>
    <t>Rekenmodel productieprijs elektriciteit STUCO 2017</t>
  </si>
  <si>
    <t>Notes</t>
  </si>
  <si>
    <t>Explanation per worksheet:</t>
  </si>
  <si>
    <r>
      <t xml:space="preserve">Input </t>
    </r>
    <r>
      <rPr>
        <sz val="11"/>
        <rFont val="Calibri"/>
        <family val="2"/>
        <scheme val="minor"/>
      </rPr>
      <t>contains data on the WACC, inflation, production and fuel</t>
    </r>
  </si>
  <si>
    <r>
      <rPr>
        <b/>
        <sz val="11"/>
        <rFont val="Calibri"/>
        <family val="2"/>
        <scheme val="minor"/>
      </rPr>
      <t>CPI CN</t>
    </r>
    <r>
      <rPr>
        <sz val="11"/>
        <rFont val="Calibri"/>
        <family val="2"/>
        <scheme val="minor"/>
      </rPr>
      <t xml:space="preserve"> calculates the consumer price index</t>
    </r>
  </si>
  <si>
    <t>Cell colours</t>
  </si>
  <si>
    <t>Data and input</t>
  </si>
  <si>
    <t>Calculated value</t>
  </si>
  <si>
    <t>Value from another cell, without calculation</t>
  </si>
  <si>
    <t>Result</t>
  </si>
  <si>
    <t>Attention needed</t>
  </si>
  <si>
    <t>Data on production</t>
  </si>
  <si>
    <t>Data on (re)connections</t>
  </si>
  <si>
    <t>Roughly estimated sales levels production Electricity, after subsidies</t>
  </si>
  <si>
    <t>Roughly estimated sales levels distribution Electricity, after subsidies</t>
  </si>
  <si>
    <t>Decision ACM</t>
  </si>
  <si>
    <t>Costs</t>
  </si>
  <si>
    <t>Other income</t>
  </si>
  <si>
    <t>In this sheet the distribution tariffs are calculated for electricity</t>
  </si>
  <si>
    <t>USD/KVA/year</t>
  </si>
  <si>
    <t>Income level per KVA (per year)</t>
  </si>
  <si>
    <t>Income level per KVA (per month)</t>
  </si>
  <si>
    <t>USD/KVA/month</t>
  </si>
  <si>
    <t>Notes to the calculation of the distribution price 2017 for STUCO B.V.</t>
  </si>
  <si>
    <t>The distribution price descion is the result of the method descision of September 30, 2016 with reference ACM/DE/2016/205454</t>
  </si>
  <si>
    <r>
      <t xml:space="preserve">Tariff Categories </t>
    </r>
    <r>
      <rPr>
        <sz val="11"/>
        <rFont val="Calibri"/>
        <family val="2"/>
        <scheme val="minor"/>
      </rPr>
      <t>contains the number of customers and weights of tariff categories as used by STUCO</t>
    </r>
  </si>
  <si>
    <t>Electricity distribution</t>
  </si>
  <si>
    <t>Last update: January 19th, 2017 (final figures)</t>
  </si>
  <si>
    <t>No extra costs</t>
  </si>
  <si>
    <t>T11</t>
  </si>
  <si>
    <t>These costs levels are calculated because we need to substract them from the total costs, before calculating total income.</t>
  </si>
  <si>
    <t>The reason for this, is that reconnection and connection fees already cover a part of the total costs in 2015, so these should not be accounted for when calculating distribution tariffs.</t>
  </si>
  <si>
    <t>Data on reconnections in 2015</t>
  </si>
  <si>
    <t>Total costs associated with reconnections in 2015 (to be subtracted)</t>
  </si>
  <si>
    <t>Data on new connections in 2015</t>
  </si>
  <si>
    <t>Estimated costs per new connection</t>
  </si>
  <si>
    <t>Total costs associated with new connections in 2015 (to be subtracted)</t>
  </si>
  <si>
    <t>Source: STUCO</t>
  </si>
  <si>
    <t>Note / source</t>
  </si>
  <si>
    <t>kVA</t>
  </si>
  <si>
    <t>Tariff category (VA)</t>
  </si>
  <si>
    <t>Old tariff category</t>
  </si>
  <si>
    <t>(household / profit)</t>
  </si>
  <si>
    <t>3,2 kVA connections is a single fuse / 110V connection</t>
  </si>
  <si>
    <t>T12 / T22</t>
  </si>
  <si>
    <t>n.a. / T22</t>
  </si>
  <si>
    <t>from 13,3 kVA 3-phase applies</t>
  </si>
  <si>
    <t>from 7,7 kVA 2-phase applies</t>
  </si>
  <si>
    <t>(total over all connections)</t>
  </si>
  <si>
    <t>Reconnection fees are 100% covering operational costs, so these should be fully subtracted from cost levels.</t>
  </si>
  <si>
    <t>Estimation by ACM, based on data from STUCO and other network companies</t>
  </si>
  <si>
    <t>CHECK</t>
  </si>
  <si>
    <t>Mail STUCO 24-3</t>
  </si>
  <si>
    <t xml:space="preserve">This file contains the computational model used by the Authority for Consumers and Markets to calculate the distribution tariffs for electricity for STUCO for the year 2017. </t>
  </si>
  <si>
    <r>
      <rPr>
        <b/>
        <sz val="11"/>
        <rFont val="Calibri"/>
        <family val="2"/>
        <scheme val="minor"/>
      </rPr>
      <t xml:space="preserve">Costs Electricity </t>
    </r>
    <r>
      <rPr>
        <sz val="11"/>
        <rFont val="Calibri"/>
        <family val="2"/>
        <scheme val="minor"/>
      </rPr>
      <t>contains data  on operational costs, capital costs and total cost</t>
    </r>
  </si>
  <si>
    <r>
      <t xml:space="preserve">Income level Electricity </t>
    </r>
    <r>
      <rPr>
        <sz val="11"/>
        <rFont val="Calibri"/>
        <family val="2"/>
        <scheme val="minor"/>
      </rPr>
      <t>calculates total costs at the 2017 pricelevel, while incorperating the extra costs en income</t>
    </r>
  </si>
  <si>
    <r>
      <rPr>
        <b/>
        <sz val="11"/>
        <rFont val="Calibri"/>
        <family val="2"/>
        <scheme val="minor"/>
      </rPr>
      <t>Calculation Electricity</t>
    </r>
    <r>
      <rPr>
        <sz val="11"/>
        <rFont val="Calibri"/>
        <family val="2"/>
        <scheme val="minor"/>
      </rPr>
      <t xml:space="preserve"> calculates total cost at the 2017 pricelevel and calculates the distribution price</t>
    </r>
  </si>
  <si>
    <t>USD, price level 2017</t>
  </si>
  <si>
    <t>Based on info by STUCO</t>
  </si>
  <si>
    <t>Fixed production price</t>
  </si>
  <si>
    <t>Fuel price</t>
  </si>
  <si>
    <t>USD/liter</t>
  </si>
  <si>
    <t>Required amount of fuel</t>
  </si>
  <si>
    <t>liters/kWh</t>
  </si>
  <si>
    <t>Fuel component</t>
  </si>
  <si>
    <t>Percentage of total production by fuel</t>
  </si>
  <si>
    <t>Most recent invoice (March 8th 2017)</t>
  </si>
  <si>
    <t>based on RAV calculation by ACM as available april 2017</t>
  </si>
  <si>
    <t>Based on formula as defined in Rekenmodel productieprijs elektriciteit STUCO 2017</t>
  </si>
  <si>
    <t>USD per connection per month</t>
  </si>
  <si>
    <t>Subsidy consumers 3,2 kVA</t>
  </si>
  <si>
    <t>Subsidy consumers 7,7 kVA</t>
  </si>
  <si>
    <t>Subsidy (estimated total amount)</t>
  </si>
  <si>
    <t>NB: This is the amount based on a full year, while the subsidy that is granted in this model only applies to the period of july - december 2017</t>
  </si>
  <si>
    <t>Subsidy per user</t>
  </si>
  <si>
    <t>Communication 21-4-2017</t>
  </si>
  <si>
    <t>Connection 3,2 and 7,7 kVA (incl. up to 25 meters)</t>
  </si>
  <si>
    <t>Total costs that are reimbursed via other activities than kVA-tariff</t>
  </si>
  <si>
    <t>New connections are currently partially paid for by customers, covering both OPEX and the investment (cables, fuse box, labor). ACM assumes that currently all costs end up on the P&amp;L.</t>
  </si>
  <si>
    <t>Total costs 2015 as cost base for estimating income level 2017</t>
  </si>
  <si>
    <t>Estimated total cost 2015</t>
  </si>
  <si>
    <t>Costs that are reimbursed via other activities than kVA-tariff</t>
  </si>
  <si>
    <t>Cost base for estimating income level 2017</t>
  </si>
  <si>
    <t>Estimated income level corrected for inflation</t>
  </si>
  <si>
    <t>FIN</t>
  </si>
  <si>
    <t>Tariff based on cost information by STUCO</t>
  </si>
  <si>
    <t>Tariff for road crossing for 3,2 kVA connection, per meter</t>
  </si>
  <si>
    <t>Tariff for road crossing for 7,7 kVA connection, per meter</t>
  </si>
  <si>
    <t>Assumption ACM based on information by STUCO, cost of standard connection plus estimation of average road crossing costs</t>
  </si>
  <si>
    <t>NB: has to be checked manually after big changes in costs (last update 5-3-2017)</t>
  </si>
  <si>
    <t>Total estimated sales level (incl. (re)connections)</t>
  </si>
  <si>
    <t>Estimated income level 2017</t>
  </si>
  <si>
    <t>This file is part of the distribution price decision with reference: 17.0288.52, the distribution price decision has filenumber ACM/DE/2017/202768,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</si>
</sst>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64" formatCode="#,##0.000"/>
    <numFmt numFmtId="165" formatCode="_(* #,##0_);_(* \(#,##0\);_(* &quot;-&quot;??_);_(@_)"/>
    <numFmt numFmtId="166" formatCode="_ * #,##0_ ;_ * \-#,##0_ ;_ * &quot;-&quot;??_ ;_ @_ "/>
    <numFmt numFmtId="167" formatCode="_ * #,##0.000_ ;_ * \-#,##0.000_ ;_ * &quot;-&quot;??_ ;_ @_ "/>
    <numFmt numFmtId="168" formatCode="_(* #,##0.00_);_(* \(#,##0.00\);_(* &quot;-&quot;??_);_(@_)"/>
    <numFmt numFmtId="169" formatCode="_ * #,##0.0000_ ;_ * \-#,##0.0000_ ;_ * &quot;-&quot;??_ ;_ @_ "/>
    <numFmt numFmtId="170" formatCode="0.0%"/>
    <numFmt numFmtId="171" formatCode="#,##0.0000"/>
    <numFmt numFmtId="172" formatCode="_([$€]* #,##0.00_);_([$€]* \(#,##0.00\);_([$€]* &quot;-&quot;??_);_(@_)"/>
    <numFmt numFmtId="173" formatCode="_-* #,##0.00_-;_-* #,##0.00\-;_-* &quot;-&quot;??_-;_-@_-"/>
    <numFmt numFmtId="174" formatCode="_ * #,##0.00000_ ;_ * \-#,##0.00000_ ;_ * &quot;-&quot;??_ ;_ @_ "/>
  </numFmts>
  <fonts count="6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99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8">
    <xf numFmtId="0" fontId="0" fillId="0" borderId="0"/>
    <xf numFmtId="9" fontId="2" fillId="0" borderId="0" applyFont="0" applyFill="0" applyBorder="0" applyAlignment="0" applyProtection="0"/>
    <xf numFmtId="0" fontId="4" fillId="0" borderId="0"/>
    <xf numFmtId="0" fontId="8" fillId="0" borderId="0"/>
    <xf numFmtId="43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20" fillId="9" borderId="0" applyNumberFormat="0" applyBorder="0" applyAlignment="0" applyProtection="0"/>
    <xf numFmtId="0" fontId="21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15" borderId="0" applyNumberFormat="0" applyBorder="0" applyAlignment="0" applyProtection="0"/>
    <xf numFmtId="0" fontId="20" fillId="16" borderId="0" applyNumberFormat="0" applyBorder="0" applyAlignment="0" applyProtection="0"/>
    <xf numFmtId="0" fontId="21" fillId="16" borderId="0" applyNumberFormat="0" applyBorder="0" applyAlignment="0" applyProtection="0"/>
    <xf numFmtId="0" fontId="20" fillId="17" borderId="0" applyNumberFormat="0" applyBorder="0" applyAlignment="0" applyProtection="0"/>
    <xf numFmtId="0" fontId="21" fillId="17" borderId="0" applyNumberFormat="0" applyBorder="0" applyAlignment="0" applyProtection="0"/>
    <xf numFmtId="0" fontId="20" fillId="12" borderId="0" applyNumberFormat="0" applyBorder="0" applyAlignment="0" applyProtection="0"/>
    <xf numFmtId="0" fontId="21" fillId="12" borderId="0" applyNumberFormat="0" applyBorder="0" applyAlignment="0" applyProtection="0"/>
    <xf numFmtId="0" fontId="20" fillId="15" borderId="0" applyNumberFormat="0" applyBorder="0" applyAlignment="0" applyProtection="0"/>
    <xf numFmtId="0" fontId="21" fillId="15" borderId="0" applyNumberFormat="0" applyBorder="0" applyAlignment="0" applyProtection="0"/>
    <xf numFmtId="0" fontId="20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19" borderId="0" applyNumberFormat="0" applyBorder="0" applyAlignment="0" applyProtection="0"/>
    <xf numFmtId="0" fontId="22" fillId="16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17" borderId="0" applyNumberFormat="0" applyBorder="0" applyAlignment="0" applyProtection="0"/>
    <xf numFmtId="0" fontId="22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21" borderId="0" applyNumberFormat="0" applyBorder="0" applyAlignment="0" applyProtection="0"/>
    <xf numFmtId="0" fontId="23" fillId="21" borderId="0" applyNumberFormat="0" applyBorder="0" applyAlignment="0" applyProtection="0"/>
    <xf numFmtId="0" fontId="22" fillId="22" borderId="0" applyNumberFormat="0" applyBorder="0" applyAlignment="0" applyProtection="0"/>
    <xf numFmtId="0" fontId="23" fillId="22" borderId="0" applyNumberFormat="0" applyBorder="0" applyAlignment="0" applyProtection="0"/>
    <xf numFmtId="0" fontId="22" fillId="23" borderId="0" applyNumberFormat="0" applyBorder="0" applyAlignment="0" applyProtection="0"/>
    <xf numFmtId="0" fontId="23" fillId="23" borderId="0" applyNumberFormat="0" applyBorder="0" applyAlignment="0" applyProtection="0"/>
    <xf numFmtId="0" fontId="22" fillId="24" borderId="0" applyNumberFormat="0" applyBorder="0" applyAlignment="0" applyProtection="0"/>
    <xf numFmtId="0" fontId="23" fillId="24" borderId="0" applyNumberFormat="0" applyBorder="0" applyAlignment="0" applyProtection="0"/>
    <xf numFmtId="0" fontId="22" fillId="25" borderId="0" applyNumberFormat="0" applyBorder="0" applyAlignment="0" applyProtection="0"/>
    <xf numFmtId="0" fontId="23" fillId="25" borderId="0" applyNumberFormat="0" applyBorder="0" applyAlignment="0" applyProtection="0"/>
    <xf numFmtId="0" fontId="22" fillId="20" borderId="0" applyNumberFormat="0" applyBorder="0" applyAlignment="0" applyProtection="0"/>
    <xf numFmtId="0" fontId="23" fillId="20" borderId="0" applyNumberFormat="0" applyBorder="0" applyAlignment="0" applyProtection="0"/>
    <xf numFmtId="0" fontId="22" fillId="21" borderId="0" applyNumberFormat="0" applyBorder="0" applyAlignment="0" applyProtection="0"/>
    <xf numFmtId="0" fontId="23" fillId="21" borderId="0" applyNumberFormat="0" applyBorder="0" applyAlignment="0" applyProtection="0"/>
    <xf numFmtId="0" fontId="22" fillId="26" borderId="0" applyNumberFormat="0" applyBorder="0" applyAlignment="0" applyProtection="0"/>
    <xf numFmtId="0" fontId="23" fillId="26" borderId="0" applyNumberFormat="0" applyBorder="0" applyAlignment="0" applyProtection="0"/>
    <xf numFmtId="0" fontId="24" fillId="10" borderId="0" applyNumberFormat="0" applyBorder="0" applyAlignment="0" applyProtection="0"/>
    <xf numFmtId="0" fontId="25" fillId="10" borderId="0" applyNumberFormat="0" applyBorder="0" applyAlignment="0" applyProtection="0"/>
    <xf numFmtId="0" fontId="26" fillId="27" borderId="3" applyNumberFormat="0" applyAlignment="0" applyProtection="0"/>
    <xf numFmtId="0" fontId="26" fillId="27" borderId="3" applyNumberFormat="0" applyAlignment="0" applyProtection="0"/>
    <xf numFmtId="0" fontId="27" fillId="27" borderId="3" applyNumberFormat="0" applyAlignment="0" applyProtection="0"/>
    <xf numFmtId="0" fontId="28" fillId="28" borderId="4" applyNumberFormat="0" applyAlignment="0" applyProtection="0"/>
    <xf numFmtId="0" fontId="29" fillId="28" borderId="4" applyNumberFormat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8" fillId="28" borderId="4" applyNumberFormat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5" applyNumberFormat="0" applyFill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5" fillId="11" borderId="0" applyNumberFormat="0" applyBorder="0" applyAlignment="0" applyProtection="0"/>
    <xf numFmtId="0" fontId="36" fillId="0" borderId="0"/>
    <xf numFmtId="0" fontId="37" fillId="0" borderId="6" applyNumberFormat="0" applyFill="0" applyAlignment="0" applyProtection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40" fillId="0" borderId="7" applyNumberFormat="0" applyFill="0" applyAlignment="0" applyProtection="0"/>
    <xf numFmtId="0" fontId="41" fillId="0" borderId="8" applyNumberFormat="0" applyFill="0" applyAlignment="0" applyProtection="0"/>
    <xf numFmtId="0" fontId="42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14" borderId="3" applyNumberFormat="0" applyAlignment="0" applyProtection="0"/>
    <xf numFmtId="0" fontId="44" fillId="14" borderId="3" applyNumberFormat="0" applyAlignment="0" applyProtection="0"/>
    <xf numFmtId="0" fontId="43" fillId="14" borderId="3" applyNumberFormat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37" fillId="0" borderId="6" applyNumberFormat="0" applyFill="0" applyAlignment="0" applyProtection="0"/>
    <xf numFmtId="0" fontId="39" fillId="0" borderId="7" applyNumberFormat="0" applyFill="0" applyAlignment="0" applyProtection="0"/>
    <xf numFmtId="0" fontId="41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33" fillId="0" borderId="5" applyNumberFormat="0" applyFill="0" applyAlignment="0" applyProtection="0"/>
    <xf numFmtId="0" fontId="45" fillId="0" borderId="5" applyNumberFormat="0" applyFill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7" fillId="29" borderId="0" applyNumberFormat="0" applyBorder="0" applyAlignment="0" applyProtection="0"/>
    <xf numFmtId="0" fontId="48" fillId="0" borderId="0"/>
    <xf numFmtId="0" fontId="30" fillId="0" borderId="0"/>
    <xf numFmtId="0" fontId="49" fillId="0" borderId="0"/>
    <xf numFmtId="0" fontId="10" fillId="30" borderId="9" applyNumberFormat="0" applyFont="0" applyAlignment="0" applyProtection="0"/>
    <xf numFmtId="0" fontId="30" fillId="30" borderId="9" applyNumberFormat="0" applyFont="0" applyAlignment="0" applyProtection="0"/>
    <xf numFmtId="0" fontId="10" fillId="30" borderId="9" applyNumberFormat="0" applyFont="0" applyAlignment="0" applyProtection="0"/>
    <xf numFmtId="0" fontId="24" fillId="10" borderId="0" applyNumberFormat="0" applyBorder="0" applyAlignment="0" applyProtection="0"/>
    <xf numFmtId="0" fontId="50" fillId="27" borderId="10" applyNumberFormat="0" applyAlignment="0" applyProtection="0"/>
    <xf numFmtId="0" fontId="51" fillId="27" borderId="10" applyNumberFormat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 applyFill="0"/>
    <xf numFmtId="0" fontId="2" fillId="0" borderId="0"/>
    <xf numFmtId="0" fontId="10" fillId="0" borderId="0"/>
    <xf numFmtId="0" fontId="19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4" fillId="0" borderId="11" applyNumberFormat="0" applyFill="0" applyAlignment="0" applyProtection="0"/>
    <xf numFmtId="0" fontId="50" fillId="27" borderId="10" applyNumberFormat="0" applyAlignment="0" applyProtection="0"/>
    <xf numFmtId="0" fontId="31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ont="0" applyBorder="0" applyAlignment="0" applyProtection="0"/>
  </cellStyleXfs>
  <cellXfs count="138">
    <xf numFmtId="0" fontId="0" fillId="0" borderId="0" xfId="0"/>
    <xf numFmtId="0" fontId="0" fillId="0" borderId="0" xfId="0" applyFill="1"/>
    <xf numFmtId="0" fontId="3" fillId="2" borderId="0" xfId="0" applyFont="1" applyFill="1"/>
    <xf numFmtId="0" fontId="0" fillId="0" borderId="0" xfId="0" applyBorder="1"/>
    <xf numFmtId="4" fontId="0" fillId="0" borderId="0" xfId="0" applyNumberFormat="1" applyFill="1" applyBorder="1"/>
    <xf numFmtId="0" fontId="0" fillId="0" borderId="0" xfId="0"/>
    <xf numFmtId="0" fontId="5" fillId="0" borderId="0" xfId="0" applyFont="1"/>
    <xf numFmtId="0" fontId="1" fillId="0" borderId="0" xfId="0" applyFont="1" applyBorder="1"/>
    <xf numFmtId="0" fontId="3" fillId="2" borderId="0" xfId="0" applyFont="1" applyFill="1"/>
    <xf numFmtId="0" fontId="0" fillId="0" borderId="0" xfId="0" applyBorder="1"/>
    <xf numFmtId="0" fontId="6" fillId="2" borderId="0" xfId="0" applyFont="1" applyFill="1" applyAlignment="1">
      <alignment vertical="center"/>
    </xf>
    <xf numFmtId="0" fontId="3" fillId="0" borderId="0" xfId="0" applyFont="1" applyFill="1"/>
    <xf numFmtId="0" fontId="7" fillId="2" borderId="0" xfId="0" applyFont="1" applyFill="1" applyAlignment="1">
      <alignment vertical="center"/>
    </xf>
    <xf numFmtId="0" fontId="6" fillId="2" borderId="0" xfId="0" applyFont="1" applyFill="1"/>
    <xf numFmtId="0" fontId="6" fillId="0" borderId="0" xfId="0" applyFont="1" applyFill="1"/>
    <xf numFmtId="0" fontId="0" fillId="0" borderId="0" xfId="0"/>
    <xf numFmtId="3" fontId="0" fillId="3" borderId="0" xfId="0" applyNumberFormat="1" applyFill="1" applyBorder="1"/>
    <xf numFmtId="0" fontId="0" fillId="0" borderId="0" xfId="0"/>
    <xf numFmtId="0" fontId="3" fillId="2" borderId="0" xfId="0" applyFont="1" applyFill="1"/>
    <xf numFmtId="0" fontId="0" fillId="0" borderId="0" xfId="0"/>
    <xf numFmtId="0" fontId="0" fillId="0" borderId="0" xfId="0" applyBorder="1"/>
    <xf numFmtId="0" fontId="6" fillId="2" borderId="0" xfId="0" applyFont="1" applyFill="1" applyAlignment="1">
      <alignment vertical="center"/>
    </xf>
    <xf numFmtId="0" fontId="0" fillId="0" borderId="0" xfId="0" applyFont="1" applyBorder="1"/>
    <xf numFmtId="0" fontId="6" fillId="2" borderId="0" xfId="0" applyFont="1" applyFill="1" applyAlignment="1">
      <alignment vertical="center"/>
    </xf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Border="1"/>
    <xf numFmtId="0" fontId="1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6" fillId="2" borderId="0" xfId="0" applyFont="1" applyFill="1" applyAlignment="1">
      <alignment vertical="center"/>
    </xf>
    <xf numFmtId="0" fontId="1" fillId="0" borderId="0" xfId="0" applyFont="1" applyBorder="1"/>
    <xf numFmtId="0" fontId="0" fillId="0" borderId="0" xfId="0" applyFont="1" applyFill="1" applyBorder="1"/>
    <xf numFmtId="0" fontId="6" fillId="0" borderId="0" xfId="0" applyFont="1" applyFill="1" applyAlignment="1">
      <alignment vertical="center"/>
    </xf>
    <xf numFmtId="3" fontId="0" fillId="5" borderId="0" xfId="0" applyNumberFormat="1" applyFill="1" applyBorder="1"/>
    <xf numFmtId="3" fontId="0" fillId="4" borderId="0" xfId="0" applyNumberFormat="1" applyFill="1" applyBorder="1"/>
    <xf numFmtId="3" fontId="0" fillId="3" borderId="0" xfId="0" applyNumberFormat="1" applyFont="1" applyFill="1" applyBorder="1"/>
    <xf numFmtId="0" fontId="0" fillId="0" borderId="0" xfId="0" applyFont="1" applyBorder="1" applyAlignment="1">
      <alignment wrapText="1"/>
    </xf>
    <xf numFmtId="3" fontId="0" fillId="4" borderId="0" xfId="0" applyNumberFormat="1" applyFont="1" applyFill="1" applyBorder="1"/>
    <xf numFmtId="10" fontId="0" fillId="3" borderId="0" xfId="1" applyNumberFormat="1" applyFont="1" applyFill="1" applyBorder="1"/>
    <xf numFmtId="10" fontId="0" fillId="5" borderId="0" xfId="1" applyNumberFormat="1" applyFont="1" applyFill="1"/>
    <xf numFmtId="0" fontId="1" fillId="0" borderId="0" xfId="0" applyFont="1"/>
    <xf numFmtId="0" fontId="0" fillId="5" borderId="0" xfId="0" applyFill="1"/>
    <xf numFmtId="0" fontId="12" fillId="0" borderId="0" xfId="0" applyFont="1"/>
    <xf numFmtId="3" fontId="0" fillId="7" borderId="0" xfId="0" applyNumberFormat="1" applyFill="1"/>
    <xf numFmtId="0" fontId="12" fillId="0" borderId="0" xfId="0" applyFont="1" applyBorder="1"/>
    <xf numFmtId="0" fontId="11" fillId="0" borderId="0" xfId="0" applyFont="1"/>
    <xf numFmtId="166" fontId="0" fillId="5" borderId="0" xfId="4" applyNumberFormat="1" applyFont="1" applyFill="1"/>
    <xf numFmtId="166" fontId="0" fillId="4" borderId="0" xfId="4" applyNumberFormat="1" applyFont="1" applyFill="1"/>
    <xf numFmtId="0" fontId="0" fillId="5" borderId="0" xfId="0" applyFill="1" applyBorder="1"/>
    <xf numFmtId="0" fontId="0" fillId="4" borderId="0" xfId="0" applyFont="1" applyFill="1" applyBorder="1"/>
    <xf numFmtId="0" fontId="0" fillId="0" borderId="0" xfId="0" applyFont="1"/>
    <xf numFmtId="43" fontId="0" fillId="5" borderId="0" xfId="4" applyFont="1" applyFill="1" applyBorder="1"/>
    <xf numFmtId="43" fontId="0" fillId="4" borderId="0" xfId="4" applyFont="1" applyFill="1" applyBorder="1"/>
    <xf numFmtId="166" fontId="0" fillId="4" borderId="0" xfId="4" applyNumberFormat="1" applyFont="1" applyFill="1" applyBorder="1"/>
    <xf numFmtId="0" fontId="14" fillId="2" borderId="0" xfId="0" applyFont="1" applyFill="1" applyAlignment="1">
      <alignment vertical="center"/>
    </xf>
    <xf numFmtId="0" fontId="15" fillId="0" borderId="0" xfId="0" applyFont="1"/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" fontId="0" fillId="0" borderId="0" xfId="0" applyNumberFormat="1" applyFont="1" applyFill="1" applyBorder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7" fillId="2" borderId="0" xfId="0" applyFont="1" applyFill="1"/>
    <xf numFmtId="0" fontId="16" fillId="2" borderId="0" xfId="0" applyFont="1" applyFill="1"/>
    <xf numFmtId="0" fontId="0" fillId="2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69" fontId="0" fillId="7" borderId="0" xfId="4" applyNumberFormat="1" applyFont="1" applyFill="1"/>
    <xf numFmtId="167" fontId="0" fillId="4" borderId="0" xfId="4" applyNumberFormat="1" applyFont="1" applyFill="1" applyBorder="1"/>
    <xf numFmtId="43" fontId="0" fillId="3" borderId="0" xfId="4" applyFont="1" applyFill="1" applyBorder="1"/>
    <xf numFmtId="43" fontId="0" fillId="7" borderId="0" xfId="4" applyFont="1" applyFill="1"/>
    <xf numFmtId="3" fontId="0" fillId="0" borderId="0" xfId="0" applyNumberFormat="1"/>
    <xf numFmtId="171" fontId="0" fillId="5" borderId="0" xfId="0" applyNumberFormat="1" applyFill="1" applyBorder="1"/>
    <xf numFmtId="0" fontId="17" fillId="2" borderId="0" xfId="0" applyFont="1" applyFill="1" applyAlignment="1">
      <alignment vertical="center"/>
    </xf>
    <xf numFmtId="0" fontId="18" fillId="0" borderId="0" xfId="5"/>
    <xf numFmtId="10" fontId="0" fillId="4" borderId="0" xfId="1" applyNumberFormat="1" applyFont="1" applyFill="1"/>
    <xf numFmtId="170" fontId="0" fillId="7" borderId="0" xfId="0" applyNumberFormat="1" applyFill="1"/>
    <xf numFmtId="10" fontId="0" fillId="3" borderId="0" xfId="1" applyNumberFormat="1" applyFont="1" applyFill="1"/>
    <xf numFmtId="170" fontId="0" fillId="5" borderId="0" xfId="1" applyNumberFormat="1" applyFont="1" applyFill="1" applyBorder="1"/>
    <xf numFmtId="0" fontId="13" fillId="31" borderId="1" xfId="124" applyFont="1" applyFill="1" applyBorder="1"/>
    <xf numFmtId="0" fontId="12" fillId="0" borderId="0" xfId="124" applyFont="1" applyAlignment="1"/>
    <xf numFmtId="0" fontId="12" fillId="0" borderId="0" xfId="124" applyFont="1" applyAlignment="1">
      <alignment horizontal="left" wrapText="1"/>
    </xf>
    <xf numFmtId="0" fontId="13" fillId="0" borderId="0" xfId="124" applyFont="1" applyAlignment="1">
      <alignment horizontal="left" wrapText="1"/>
    </xf>
    <xf numFmtId="0" fontId="12" fillId="32" borderId="0" xfId="124" applyFont="1" applyFill="1"/>
    <xf numFmtId="0" fontId="13" fillId="32" borderId="0" xfId="124" applyFont="1" applyFill="1"/>
    <xf numFmtId="0" fontId="13" fillId="31" borderId="1" xfId="6" applyFont="1" applyFill="1" applyBorder="1"/>
    <xf numFmtId="0" fontId="12" fillId="33" borderId="2" xfId="125" applyFont="1" applyFill="1" applyBorder="1"/>
    <xf numFmtId="0" fontId="12" fillId="34" borderId="0" xfId="125" applyFont="1" applyFill="1" applyBorder="1"/>
    <xf numFmtId="0" fontId="12" fillId="4" borderId="2" xfId="125" applyFont="1" applyFill="1" applyBorder="1"/>
    <xf numFmtId="0" fontId="12" fillId="35" borderId="2" xfId="125" applyFont="1" applyFill="1" applyBorder="1"/>
    <xf numFmtId="0" fontId="58" fillId="34" borderId="0" xfId="125" applyFont="1" applyFill="1" applyBorder="1"/>
    <xf numFmtId="0" fontId="12" fillId="36" borderId="2" xfId="125" applyFont="1" applyFill="1" applyBorder="1"/>
    <xf numFmtId="0" fontId="12" fillId="6" borderId="2" xfId="125" applyFont="1" applyFill="1" applyBorder="1"/>
    <xf numFmtId="0" fontId="15" fillId="0" borderId="0" xfId="0" applyFont="1" applyBorder="1"/>
    <xf numFmtId="0" fontId="59" fillId="0" borderId="0" xfId="0" applyFont="1"/>
    <xf numFmtId="0" fontId="15" fillId="2" borderId="0" xfId="0" applyFont="1" applyFill="1"/>
    <xf numFmtId="0" fontId="17" fillId="0" borderId="0" xfId="0" applyFont="1" applyBorder="1"/>
    <xf numFmtId="0" fontId="15" fillId="0" borderId="0" xfId="0" applyFont="1" applyFill="1"/>
    <xf numFmtId="0" fontId="1" fillId="0" borderId="0" xfId="0" applyFont="1" applyAlignment="1">
      <alignment wrapText="1"/>
    </xf>
    <xf numFmtId="166" fontId="0" fillId="5" borderId="0" xfId="4" applyNumberFormat="1" applyFont="1" applyFill="1" applyAlignment="1">
      <alignment wrapText="1"/>
    </xf>
    <xf numFmtId="166" fontId="0" fillId="4" borderId="0" xfId="0" applyNumberFormat="1" applyFont="1" applyFill="1"/>
    <xf numFmtId="166" fontId="0" fillId="7" borderId="0" xfId="0" applyNumberFormat="1" applyFont="1" applyFill="1"/>
    <xf numFmtId="166" fontId="0" fillId="5" borderId="0" xfId="4" applyNumberFormat="1" applyFont="1" applyFill="1" applyBorder="1"/>
    <xf numFmtId="9" fontId="0" fillId="5" borderId="0" xfId="0" applyNumberFormat="1" applyFont="1" applyFill="1" applyBorder="1"/>
    <xf numFmtId="166" fontId="1" fillId="0" borderId="0" xfId="0" applyNumberFormat="1" applyFont="1" applyBorder="1"/>
    <xf numFmtId="165" fontId="0" fillId="5" borderId="0" xfId="0" applyNumberFormat="1" applyFont="1" applyFill="1"/>
    <xf numFmtId="165" fontId="0" fillId="4" borderId="0" xfId="0" applyNumberFormat="1" applyFont="1" applyFill="1"/>
    <xf numFmtId="165" fontId="0" fillId="7" borderId="0" xfId="0" applyNumberFormat="1" applyFont="1" applyFill="1"/>
    <xf numFmtId="0" fontId="5" fillId="0" borderId="0" xfId="0" applyFont="1" applyFill="1" applyAlignment="1">
      <alignment vertical="center"/>
    </xf>
    <xf numFmtId="166" fontId="0" fillId="0" borderId="0" xfId="4" applyNumberFormat="1" applyFont="1"/>
    <xf numFmtId="166" fontId="0" fillId="7" borderId="0" xfId="4" applyNumberFormat="1" applyFont="1" applyFill="1"/>
    <xf numFmtId="171" fontId="0" fillId="3" borderId="0" xfId="0" applyNumberFormat="1" applyFont="1" applyFill="1" applyBorder="1"/>
    <xf numFmtId="170" fontId="0" fillId="3" borderId="0" xfId="0" applyNumberFormat="1" applyFont="1" applyFill="1"/>
    <xf numFmtId="2" fontId="0" fillId="5" borderId="0" xfId="0" applyNumberFormat="1" applyFill="1"/>
    <xf numFmtId="0" fontId="60" fillId="0" borderId="0" xfId="0" applyFont="1"/>
    <xf numFmtId="43" fontId="0" fillId="0" borderId="0" xfId="0" applyNumberFormat="1"/>
    <xf numFmtId="169" fontId="0" fillId="0" borderId="0" xfId="0" applyNumberFormat="1"/>
    <xf numFmtId="174" fontId="0" fillId="0" borderId="0" xfId="0" applyNumberFormat="1"/>
    <xf numFmtId="43" fontId="0" fillId="0" borderId="0" xfId="0" applyNumberFormat="1" applyFont="1"/>
    <xf numFmtId="9" fontId="0" fillId="0" borderId="0" xfId="1" applyFont="1"/>
    <xf numFmtId="43" fontId="0" fillId="5" borderId="0" xfId="4" applyFont="1" applyFill="1" applyAlignment="1">
      <alignment vertical="center"/>
    </xf>
    <xf numFmtId="166" fontId="2" fillId="7" borderId="0" xfId="4" applyNumberFormat="1" applyFont="1" applyFill="1" applyAlignment="1">
      <alignment vertical="center"/>
    </xf>
    <xf numFmtId="0" fontId="61" fillId="0" borderId="0" xfId="0" applyFont="1"/>
    <xf numFmtId="0" fontId="61" fillId="0" borderId="0" xfId="0" applyFont="1" applyFill="1" applyAlignment="1">
      <alignment vertical="center"/>
    </xf>
    <xf numFmtId="43" fontId="0" fillId="7" borderId="0" xfId="4" applyFont="1" applyFill="1" applyBorder="1"/>
    <xf numFmtId="0" fontId="62" fillId="0" borderId="0" xfId="0" applyFont="1" applyFill="1" applyBorder="1"/>
    <xf numFmtId="0" fontId="12" fillId="0" borderId="0" xfId="0" applyFont="1" applyFill="1" applyAlignment="1">
      <alignment vertical="center"/>
    </xf>
    <xf numFmtId="164" fontId="0" fillId="5" borderId="0" xfId="0" applyNumberFormat="1" applyFill="1" applyBorder="1"/>
    <xf numFmtId="9" fontId="0" fillId="5" borderId="0" xfId="1" applyFont="1" applyFill="1" applyBorder="1"/>
    <xf numFmtId="171" fontId="12" fillId="5" borderId="0" xfId="0" applyNumberFormat="1" applyFont="1" applyFill="1" applyBorder="1"/>
    <xf numFmtId="166" fontId="0" fillId="0" borderId="0" xfId="0" applyNumberFormat="1" applyFont="1"/>
    <xf numFmtId="43" fontId="0" fillId="5" borderId="0" xfId="4" applyFont="1" applyFill="1"/>
    <xf numFmtId="4" fontId="0" fillId="8" borderId="0" xfId="0" applyNumberFormat="1" applyFont="1" applyFill="1" applyBorder="1"/>
    <xf numFmtId="4" fontId="0" fillId="3" borderId="0" xfId="0" applyNumberFormat="1" applyFont="1" applyFill="1" applyBorder="1"/>
    <xf numFmtId="166" fontId="0" fillId="3" borderId="0" xfId="4" applyNumberFormat="1" applyFont="1" applyFill="1" applyAlignment="1">
      <alignment vertical="center"/>
    </xf>
    <xf numFmtId="171" fontId="0" fillId="4" borderId="0" xfId="0" applyNumberFormat="1" applyFill="1" applyBorder="1"/>
    <xf numFmtId="43" fontId="0" fillId="4" borderId="0" xfId="4" applyFont="1" applyFill="1" applyAlignment="1">
      <alignment vertical="center"/>
    </xf>
    <xf numFmtId="3" fontId="0" fillId="3" borderId="0" xfId="0" applyNumberFormat="1" applyFill="1"/>
    <xf numFmtId="3" fontId="0" fillId="4" borderId="0" xfId="0" applyNumberFormat="1" applyFill="1"/>
  </cellXfs>
  <cellStyles count="138">
    <cellStyle name="_x000d__x000a_JournalTemplate=C:\COMFO\CTALK\JOURSTD.TPL_x000d__x000a_LbStateAddress=3 3 0 251 1 89 2 311_x000d__x000a_LbStateJou" xfId="6"/>
    <cellStyle name="_x000d__x000a_JournalTemplate=C:\COMFO\CTALK\JOURSTD.TPL_x000d__x000a_LbStateAddress=3 3 0 251 1 89 2 311_x000d__x000a_LbStateJou 2" xfId="7"/>
    <cellStyle name="_x000d__x000a_JournalTemplate=C:\COMFO\CTALK\JOURSTD.TPL_x000d__x000a_LbStateAddress=3 3 0 251 1 89 2 311_x000d__x000a_LbStateJou 2 2" xfId="8"/>
    <cellStyle name="_x000d__x000a_JournalTemplate=C:\COMFO\CTALK\JOURSTD.TPL_x000d__x000a_LbStateAddress=3 3 0 251 1 89 2 311_x000d__x000a_LbStateJou 3" xfId="9"/>
    <cellStyle name="_x000d__x000a_JournalTemplate=C:\COMFO\CTALK\JOURSTD.TPL_x000d__x000a_LbStateAddress=3 3 0 251 1 89 2 311_x000d__x000a_LbStateJou 4" xfId="10"/>
    <cellStyle name="_x000d__x000a_JournalTemplate=C:\COMFO\CTALK\JOURSTD.TPL_x000d__x000a_LbStateAddress=3 3 0 251 1 89 2 311_x000d__x000a_LbStateJou_100720 berekening x-factoren NG4R v4.2" xfId="11"/>
    <cellStyle name="20% - Accent1 2" xfId="12"/>
    <cellStyle name="20% - Accent1 3" xfId="13"/>
    <cellStyle name="20% - Accent2 2" xfId="14"/>
    <cellStyle name="20% - Accent2 3" xfId="15"/>
    <cellStyle name="20% - Accent3 2" xfId="16"/>
    <cellStyle name="20% - Accent3 3" xfId="17"/>
    <cellStyle name="20% - Accent4 2" xfId="18"/>
    <cellStyle name="20% - Accent4 3" xfId="19"/>
    <cellStyle name="20% - Accent5 2" xfId="20"/>
    <cellStyle name="20% - Accent5 3" xfId="21"/>
    <cellStyle name="20% - Accent6 2" xfId="22"/>
    <cellStyle name="20% - Accent6 3" xfId="23"/>
    <cellStyle name="40% - Accent1 2" xfId="24"/>
    <cellStyle name="40% - Accent1 3" xfId="25"/>
    <cellStyle name="40% - Accent2 2" xfId="26"/>
    <cellStyle name="40% - Accent2 3" xfId="27"/>
    <cellStyle name="40% - Accent3 2" xfId="28"/>
    <cellStyle name="40% - Accent3 3" xfId="29"/>
    <cellStyle name="40% - Accent4 2" xfId="30"/>
    <cellStyle name="40% - Accent4 3" xfId="31"/>
    <cellStyle name="40% - Accent5 2" xfId="32"/>
    <cellStyle name="40% - Accent5 3" xfId="33"/>
    <cellStyle name="40% - Accent6 2" xfId="34"/>
    <cellStyle name="40% - Accent6 3" xfId="35"/>
    <cellStyle name="60% - Accent1 2" xfId="36"/>
    <cellStyle name="60% - Accent1 3" xfId="37"/>
    <cellStyle name="60% - Accent2 2" xfId="38"/>
    <cellStyle name="60% - Accent2 3" xfId="39"/>
    <cellStyle name="60% - Accent3 2" xfId="40"/>
    <cellStyle name="60% - Accent3 3" xfId="41"/>
    <cellStyle name="60% - Accent4 2" xfId="42"/>
    <cellStyle name="60% - Accent4 3" xfId="43"/>
    <cellStyle name="60% - Accent5 2" xfId="44"/>
    <cellStyle name="60% - Accent5 3" xfId="45"/>
    <cellStyle name="60% - Accent6 2" xfId="46"/>
    <cellStyle name="60% - Accent6 3" xfId="47"/>
    <cellStyle name="Accent1 2" xfId="48"/>
    <cellStyle name="Accent1 3" xfId="49"/>
    <cellStyle name="Accent2 2" xfId="50"/>
    <cellStyle name="Accent2 3" xfId="51"/>
    <cellStyle name="Accent3 2" xfId="52"/>
    <cellStyle name="Accent3 3" xfId="53"/>
    <cellStyle name="Accent4 2" xfId="54"/>
    <cellStyle name="Accent4 3" xfId="55"/>
    <cellStyle name="Accent5 2" xfId="56"/>
    <cellStyle name="Accent5 3" xfId="57"/>
    <cellStyle name="Accent6 2" xfId="58"/>
    <cellStyle name="Accent6 3" xfId="59"/>
    <cellStyle name="Bad" xfId="60"/>
    <cellStyle name="Bad 2" xfId="61"/>
    <cellStyle name="Berekening 2" xfId="62"/>
    <cellStyle name="Calculation" xfId="63"/>
    <cellStyle name="Calculation 2" xfId="64"/>
    <cellStyle name="Check Cell" xfId="65"/>
    <cellStyle name="Check Cell 2" xfId="66"/>
    <cellStyle name="Comma 2" xfId="67"/>
    <cellStyle name="Comma 3" xfId="68"/>
    <cellStyle name="Controlecel 2" xfId="69"/>
    <cellStyle name="Euro" xfId="70"/>
    <cellStyle name="Euro 2" xfId="71"/>
    <cellStyle name="Explanatory Text" xfId="72"/>
    <cellStyle name="Explanatory Text 2" xfId="73"/>
    <cellStyle name="Gekoppelde cel 2" xfId="74"/>
    <cellStyle name="Goed 2" xfId="75"/>
    <cellStyle name="Good" xfId="76"/>
    <cellStyle name="Good 2" xfId="77"/>
    <cellStyle name="Header" xfId="78"/>
    <cellStyle name="Heading 1" xfId="79"/>
    <cellStyle name="Heading 1 2" xfId="80"/>
    <cellStyle name="Heading 2" xfId="81"/>
    <cellStyle name="Heading 2 2" xfId="82"/>
    <cellStyle name="Heading 3" xfId="83"/>
    <cellStyle name="Heading 3 2" xfId="84"/>
    <cellStyle name="Heading 4" xfId="85"/>
    <cellStyle name="Heading 4 2" xfId="86"/>
    <cellStyle name="Hyperlink" xfId="5" builtinId="8"/>
    <cellStyle name="Input" xfId="87"/>
    <cellStyle name="Input 2" xfId="88"/>
    <cellStyle name="Invoer 2" xfId="89"/>
    <cellStyle name="Komma" xfId="4" builtinId="3"/>
    <cellStyle name="Komma 14 2" xfId="90"/>
    <cellStyle name="Komma 2" xfId="91"/>
    <cellStyle name="Komma 2 2" xfId="92"/>
    <cellStyle name="Komma 2 3" xfId="93"/>
    <cellStyle name="Komma 3" xfId="94"/>
    <cellStyle name="Komma 3 2" xfId="95"/>
    <cellStyle name="Komma 4" xfId="96"/>
    <cellStyle name="Komma 5" xfId="97"/>
    <cellStyle name="Kop 1 2" xfId="98"/>
    <cellStyle name="Kop 2 2" xfId="99"/>
    <cellStyle name="Kop 3 2" xfId="100"/>
    <cellStyle name="Kop 4 2" xfId="101"/>
    <cellStyle name="Linked Cell" xfId="102"/>
    <cellStyle name="Linked Cell 2" xfId="103"/>
    <cellStyle name="Neutraal 2" xfId="104"/>
    <cellStyle name="Neutral" xfId="105"/>
    <cellStyle name="Neutral 2" xfId="106"/>
    <cellStyle name="Normal 2" xfId="107"/>
    <cellStyle name="Normal 3" xfId="108"/>
    <cellStyle name="Normal_# klanten" xfId="109"/>
    <cellStyle name="Note" xfId="110"/>
    <cellStyle name="Note 2" xfId="111"/>
    <cellStyle name="Notitie 2" xfId="112"/>
    <cellStyle name="Ongeldig 2" xfId="113"/>
    <cellStyle name="Output" xfId="114"/>
    <cellStyle name="Output 2" xfId="115"/>
    <cellStyle name="Procent" xfId="1" builtinId="5"/>
    <cellStyle name="Procent 2" xfId="116"/>
    <cellStyle name="Procent 3" xfId="117"/>
    <cellStyle name="Procent 4" xfId="118"/>
    <cellStyle name="Standaard" xfId="0" builtinId="0"/>
    <cellStyle name="Standaard 2" xfId="2"/>
    <cellStyle name="Standaard 2 2" xfId="3"/>
    <cellStyle name="Standaard 2 3" xfId="119"/>
    <cellStyle name="Standaard 2 4" xfId="120"/>
    <cellStyle name="Standaard 3" xfId="121"/>
    <cellStyle name="Standaard 4" xfId="122"/>
    <cellStyle name="Standaard 5" xfId="123"/>
    <cellStyle name="Standaard 6" xfId="124"/>
    <cellStyle name="Standaard_20100727 Rekenmodel NE5R v1.9" xfId="125"/>
    <cellStyle name="Titel 2" xfId="126"/>
    <cellStyle name="Title" xfId="127"/>
    <cellStyle name="Title 2" xfId="128"/>
    <cellStyle name="Totaal 2" xfId="129"/>
    <cellStyle name="Total" xfId="130"/>
    <cellStyle name="Total 2" xfId="131"/>
    <cellStyle name="Uitvoer 2" xfId="132"/>
    <cellStyle name="Verklarende tekst 2" xfId="133"/>
    <cellStyle name="Waarschuwingstekst 2" xfId="134"/>
    <cellStyle name="Warning Text" xfId="135"/>
    <cellStyle name="Warning Text 2" xfId="136"/>
    <cellStyle name="WIt" xfId="137"/>
  </cellStyles>
  <dxfs count="0"/>
  <tableStyles count="0" defaultTableStyle="TableStyleMedium2" defaultPivotStyle="PivotStyleLight16"/>
  <colors>
    <mruColors>
      <color rgb="FFFFFFCC"/>
      <color rgb="FFCCFFFF"/>
      <color rgb="FFFFCC99"/>
      <color rgb="FFCCFFCC"/>
      <color rgb="FFFF00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statline.cbs.nl/Statweb/publication/?DM=SLNL&amp;PA=81122NED&amp;D1=0-2&amp;D2=0&amp;D3=a&amp;D4=a&amp;VW=T" TargetMode="Externa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B33"/>
  <sheetViews>
    <sheetView showGridLines="0" zoomScale="85" zoomScaleNormal="85" workbookViewId="0">
      <selection activeCell="B8" sqref="B8"/>
    </sheetView>
  </sheetViews>
  <sheetFormatPr defaultRowHeight="15"/>
  <cols>
    <col min="2" max="2" width="175.42578125" customWidth="1"/>
  </cols>
  <sheetData>
    <row r="1" spans="1:2" s="2" customFormat="1" ht="35.25" customHeight="1">
      <c r="A1" s="18" t="s">
        <v>158</v>
      </c>
      <c r="B1" s="18"/>
    </row>
    <row r="2" spans="1:2">
      <c r="A2" s="19"/>
      <c r="B2" s="19"/>
    </row>
    <row r="3" spans="1:2">
      <c r="A3" s="51"/>
      <c r="B3" s="78" t="s">
        <v>136</v>
      </c>
    </row>
    <row r="4" spans="1:2">
      <c r="A4" s="51"/>
      <c r="B4" s="51"/>
    </row>
    <row r="5" spans="1:2">
      <c r="A5" s="51"/>
      <c r="B5" s="79" t="s">
        <v>188</v>
      </c>
    </row>
    <row r="6" spans="1:2">
      <c r="A6" s="51"/>
      <c r="B6" s="79" t="s">
        <v>227</v>
      </c>
    </row>
    <row r="7" spans="1:2">
      <c r="A7" s="51"/>
      <c r="B7" s="79" t="s">
        <v>159</v>
      </c>
    </row>
    <row r="8" spans="1:2">
      <c r="A8" s="51"/>
      <c r="B8" s="80"/>
    </row>
    <row r="9" spans="1:2">
      <c r="A9" s="51"/>
      <c r="B9" s="80" t="s">
        <v>137</v>
      </c>
    </row>
    <row r="10" spans="1:2">
      <c r="A10" s="51"/>
      <c r="B10" s="81" t="s">
        <v>138</v>
      </c>
    </row>
    <row r="11" spans="1:2" s="19" customFormat="1">
      <c r="A11" s="51"/>
      <c r="B11" s="81" t="s">
        <v>160</v>
      </c>
    </row>
    <row r="12" spans="1:2">
      <c r="A12" s="51"/>
      <c r="B12" s="82" t="s">
        <v>189</v>
      </c>
    </row>
    <row r="13" spans="1:2">
      <c r="A13" s="51"/>
      <c r="B13" s="83" t="s">
        <v>190</v>
      </c>
    </row>
    <row r="14" spans="1:2">
      <c r="A14" s="51"/>
      <c r="B14" s="82" t="s">
        <v>191</v>
      </c>
    </row>
    <row r="15" spans="1:2">
      <c r="A15" s="51"/>
      <c r="B15" s="82" t="s">
        <v>139</v>
      </c>
    </row>
    <row r="16" spans="1:2">
      <c r="A16" s="51"/>
      <c r="B16" s="83"/>
    </row>
    <row r="17" spans="1:2">
      <c r="A17" s="51"/>
      <c r="B17" s="51"/>
    </row>
    <row r="18" spans="1:2">
      <c r="A18" s="51"/>
      <c r="B18" s="84" t="s">
        <v>140</v>
      </c>
    </row>
    <row r="19" spans="1:2">
      <c r="A19" s="51"/>
      <c r="B19" s="51"/>
    </row>
    <row r="20" spans="1:2">
      <c r="A20" s="51"/>
      <c r="B20" s="85" t="s">
        <v>141</v>
      </c>
    </row>
    <row r="21" spans="1:2">
      <c r="A21" s="51"/>
      <c r="B21" s="86"/>
    </row>
    <row r="22" spans="1:2">
      <c r="A22" s="51"/>
      <c r="B22" s="87" t="s">
        <v>142</v>
      </c>
    </row>
    <row r="23" spans="1:2">
      <c r="A23" s="51"/>
      <c r="B23" s="86"/>
    </row>
    <row r="24" spans="1:2">
      <c r="A24" s="51"/>
      <c r="B24" s="88" t="s">
        <v>143</v>
      </c>
    </row>
    <row r="25" spans="1:2">
      <c r="A25" s="51"/>
      <c r="B25" s="89"/>
    </row>
    <row r="26" spans="1:2">
      <c r="A26" s="51"/>
      <c r="B26" s="90" t="s">
        <v>144</v>
      </c>
    </row>
    <row r="27" spans="1:2">
      <c r="A27" s="51"/>
      <c r="B27" s="51"/>
    </row>
    <row r="28" spans="1:2">
      <c r="A28" s="51"/>
      <c r="B28" s="91" t="s">
        <v>145</v>
      </c>
    </row>
    <row r="29" spans="1:2">
      <c r="A29" s="51"/>
      <c r="B29" s="51"/>
    </row>
    <row r="30" spans="1:2">
      <c r="A30" s="19"/>
      <c r="B30" s="19"/>
    </row>
    <row r="31" spans="1:2">
      <c r="B31" s="19"/>
    </row>
    <row r="32" spans="1:2">
      <c r="B32" s="19"/>
    </row>
    <row r="33" spans="2:2">
      <c r="B33" s="1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rgb="FFCCFFCC"/>
  </sheetPr>
  <dimension ref="A1:J30"/>
  <sheetViews>
    <sheetView showGridLines="0" zoomScale="85" zoomScaleNormal="85" workbookViewId="0"/>
  </sheetViews>
  <sheetFormatPr defaultRowHeight="15"/>
  <cols>
    <col min="2" max="2" width="53.5703125" customWidth="1"/>
    <col min="3" max="3" width="29.7109375" style="19" customWidth="1"/>
    <col min="4" max="4" width="17" customWidth="1"/>
    <col min="5" max="5" width="11" customWidth="1"/>
    <col min="6" max="6" width="20.140625" customWidth="1"/>
    <col min="7" max="7" width="28.5703125" bestFit="1" customWidth="1"/>
    <col min="8" max="8" width="10.85546875" customWidth="1"/>
  </cols>
  <sheetData>
    <row r="1" spans="1:10" s="2" customFormat="1" ht="35.25" customHeight="1">
      <c r="A1" s="2" t="s">
        <v>16</v>
      </c>
      <c r="C1" s="18"/>
    </row>
    <row r="3" spans="1:10">
      <c r="A3" s="19"/>
      <c r="F3" s="41" t="s">
        <v>173</v>
      </c>
      <c r="J3" s="6"/>
    </row>
    <row r="4" spans="1:10">
      <c r="A4" s="19"/>
      <c r="B4" t="s">
        <v>59</v>
      </c>
      <c r="C4" s="19" t="s">
        <v>4</v>
      </c>
      <c r="D4" s="40">
        <v>6.7400000000000002E-2</v>
      </c>
      <c r="F4" t="s">
        <v>85</v>
      </c>
    </row>
    <row r="5" spans="1:10" s="5" customFormat="1">
      <c r="B5" s="5" t="s">
        <v>22</v>
      </c>
      <c r="C5" s="19" t="s">
        <v>4</v>
      </c>
      <c r="D5" s="76">
        <f>'CPI CN'!E31</f>
        <v>-5.0000000000000001E-3</v>
      </c>
      <c r="H5" s="6"/>
    </row>
    <row r="6" spans="1:10" s="5" customFormat="1">
      <c r="B6" s="5" t="s">
        <v>57</v>
      </c>
      <c r="C6" s="19" t="s">
        <v>4</v>
      </c>
      <c r="D6" s="76">
        <f>'CPI CN'!E32</f>
        <v>-8.9999999999999993E-3</v>
      </c>
      <c r="F6" s="19"/>
    </row>
    <row r="8" spans="1:10" s="12" customFormat="1" ht="18.75">
      <c r="B8" s="10" t="s">
        <v>18</v>
      </c>
    </row>
    <row r="9" spans="1:10" s="19" customFormat="1"/>
    <row r="10" spans="1:10" s="19" customFormat="1">
      <c r="B10" s="41" t="s">
        <v>146</v>
      </c>
      <c r="F10" s="41" t="s">
        <v>173</v>
      </c>
    </row>
    <row r="11" spans="1:10">
      <c r="B11" t="s">
        <v>194</v>
      </c>
      <c r="C11" s="19" t="s">
        <v>15</v>
      </c>
      <c r="D11" s="71">
        <v>0.13778916744848457</v>
      </c>
      <c r="E11" s="19"/>
      <c r="F11" s="51" t="s">
        <v>135</v>
      </c>
    </row>
    <row r="12" spans="1:10" s="19" customFormat="1">
      <c r="B12" s="19" t="s">
        <v>195</v>
      </c>
      <c r="C12" s="19" t="s">
        <v>196</v>
      </c>
      <c r="D12" s="128">
        <v>0.61699999999999999</v>
      </c>
      <c r="F12" s="43" t="s">
        <v>201</v>
      </c>
    </row>
    <row r="13" spans="1:10" s="19" customFormat="1">
      <c r="B13" s="19" t="s">
        <v>197</v>
      </c>
      <c r="C13" s="19" t="s">
        <v>198</v>
      </c>
      <c r="D13" s="126">
        <v>0.26900000000000002</v>
      </c>
      <c r="F13" s="51" t="s">
        <v>135</v>
      </c>
    </row>
    <row r="14" spans="1:10" s="19" customFormat="1">
      <c r="B14" s="19" t="s">
        <v>200</v>
      </c>
      <c r="C14" s="19" t="s">
        <v>4</v>
      </c>
      <c r="D14" s="127">
        <v>0.76985040276179517</v>
      </c>
      <c r="F14" s="51" t="s">
        <v>135</v>
      </c>
    </row>
    <row r="15" spans="1:10" s="19" customFormat="1">
      <c r="B15" s="19" t="s">
        <v>199</v>
      </c>
      <c r="C15" s="19" t="s">
        <v>15</v>
      </c>
      <c r="D15" s="134">
        <f>D12*D13*D14</f>
        <v>0.12777438089758344</v>
      </c>
      <c r="F15" s="19" t="s">
        <v>203</v>
      </c>
    </row>
    <row r="16" spans="1:10" s="19" customFormat="1">
      <c r="B16" s="19" t="s">
        <v>8</v>
      </c>
      <c r="C16" s="19" t="s">
        <v>15</v>
      </c>
      <c r="D16" s="134">
        <f>D11+D15</f>
        <v>0.26556354834606799</v>
      </c>
      <c r="F16" s="6"/>
    </row>
    <row r="17" spans="2:10" s="19" customFormat="1">
      <c r="B17" s="19" t="s">
        <v>19</v>
      </c>
      <c r="C17" s="19" t="s">
        <v>110</v>
      </c>
      <c r="D17" s="34">
        <v>13904</v>
      </c>
      <c r="F17" s="51" t="s">
        <v>135</v>
      </c>
      <c r="J17" s="70"/>
    </row>
    <row r="18" spans="2:10" s="5" customFormat="1">
      <c r="C18" s="19"/>
      <c r="D18" s="4"/>
    </row>
    <row r="19" spans="2:10" s="19" customFormat="1">
      <c r="B19" s="19" t="s">
        <v>48</v>
      </c>
      <c r="C19" s="19" t="s">
        <v>4</v>
      </c>
      <c r="D19" s="77">
        <v>0.12</v>
      </c>
      <c r="F19" s="43" t="s">
        <v>80</v>
      </c>
    </row>
    <row r="20" spans="2:10" s="19" customFormat="1">
      <c r="D20" s="4"/>
    </row>
    <row r="21" spans="2:10" s="19" customFormat="1">
      <c r="B21" s="41" t="s">
        <v>147</v>
      </c>
      <c r="D21" s="4"/>
    </row>
    <row r="22" spans="2:10">
      <c r="B22" t="s">
        <v>96</v>
      </c>
      <c r="C22" s="19" t="s">
        <v>76</v>
      </c>
      <c r="D22" s="42">
        <v>2129</v>
      </c>
      <c r="F22" t="s">
        <v>97</v>
      </c>
    </row>
    <row r="23" spans="2:10" s="19" customFormat="1">
      <c r="B23" s="19" t="s">
        <v>99</v>
      </c>
      <c r="C23" s="19" t="s">
        <v>76</v>
      </c>
      <c r="D23" s="42">
        <v>50</v>
      </c>
      <c r="F23" s="19" t="s">
        <v>187</v>
      </c>
    </row>
    <row r="24" spans="2:10" s="19" customFormat="1">
      <c r="D24" s="1"/>
    </row>
    <row r="25" spans="2:10" s="19" customFormat="1">
      <c r="B25" s="41" t="s">
        <v>12</v>
      </c>
      <c r="D25" s="1"/>
    </row>
    <row r="26" spans="2:10" s="19" customFormat="1">
      <c r="B26" s="19" t="s">
        <v>205</v>
      </c>
      <c r="C26" s="19" t="s">
        <v>204</v>
      </c>
      <c r="D26" s="130">
        <v>14.358625263909003</v>
      </c>
      <c r="F26" s="19" t="s">
        <v>210</v>
      </c>
    </row>
    <row r="27" spans="2:10" s="19" customFormat="1">
      <c r="B27" s="19" t="s">
        <v>206</v>
      </c>
      <c r="C27" s="19" t="s">
        <v>204</v>
      </c>
      <c r="D27" s="130">
        <v>21.594026275800644</v>
      </c>
      <c r="F27" s="19" t="s">
        <v>210</v>
      </c>
    </row>
    <row r="28" spans="2:10">
      <c r="B28" t="s">
        <v>207</v>
      </c>
      <c r="C28" s="19" t="s">
        <v>192</v>
      </c>
      <c r="D28" s="34">
        <v>388120</v>
      </c>
      <c r="F28" t="s">
        <v>208</v>
      </c>
    </row>
    <row r="29" spans="2:10" s="19" customFormat="1"/>
    <row r="30" spans="2:10" s="19" customFormat="1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tabColor rgb="FFCCFFCC"/>
  </sheetPr>
  <dimension ref="A1:M26"/>
  <sheetViews>
    <sheetView showGridLines="0" zoomScale="85" zoomScaleNormal="85" workbookViewId="0"/>
  </sheetViews>
  <sheetFormatPr defaultRowHeight="15"/>
  <cols>
    <col min="1" max="1" width="4.140625" customWidth="1"/>
    <col min="2" max="2" width="35" customWidth="1"/>
    <col min="3" max="3" width="13.28515625" customWidth="1"/>
    <col min="4" max="4" width="28.28515625" customWidth="1"/>
    <col min="5" max="5" width="9.140625" style="19"/>
    <col min="6" max="6" width="23.28515625" style="19" customWidth="1"/>
    <col min="7" max="7" width="5.28515625" style="19" customWidth="1"/>
    <col min="8" max="8" width="75.85546875" style="19" customWidth="1"/>
  </cols>
  <sheetData>
    <row r="1" spans="1:13" s="2" customFormat="1" ht="35.25" customHeight="1">
      <c r="A1" s="2" t="s">
        <v>17</v>
      </c>
      <c r="E1" s="18"/>
      <c r="F1" s="18"/>
      <c r="G1" s="18"/>
      <c r="H1" s="18"/>
    </row>
    <row r="2" spans="1:13">
      <c r="E2" s="28"/>
      <c r="F2" s="28"/>
      <c r="G2" s="28"/>
      <c r="H2" s="28"/>
    </row>
    <row r="3" spans="1:13">
      <c r="A3" s="19"/>
      <c r="E3" s="28"/>
      <c r="F3" s="28"/>
      <c r="G3" s="28"/>
      <c r="H3" s="28"/>
    </row>
    <row r="4" spans="1:13" s="8" customFormat="1" ht="26.25">
      <c r="B4" s="13" t="s">
        <v>18</v>
      </c>
      <c r="E4" s="18"/>
      <c r="F4" s="18"/>
      <c r="G4" s="18"/>
      <c r="H4" s="18"/>
    </row>
    <row r="5" spans="1:13" s="11" customFormat="1" ht="18.75" customHeight="1">
      <c r="B5" s="14"/>
      <c r="E5" s="28"/>
      <c r="G5" s="28"/>
    </row>
    <row r="6" spans="1:13">
      <c r="B6" s="31" t="s">
        <v>175</v>
      </c>
      <c r="C6" s="31" t="s">
        <v>174</v>
      </c>
      <c r="D6" s="31" t="s">
        <v>1</v>
      </c>
      <c r="E6" s="28"/>
      <c r="F6" s="31" t="s">
        <v>176</v>
      </c>
      <c r="G6" s="28"/>
      <c r="H6" s="27" t="s">
        <v>46</v>
      </c>
    </row>
    <row r="7" spans="1:13" s="19" customFormat="1">
      <c r="B7" s="31"/>
      <c r="C7" s="31"/>
      <c r="D7" s="37" t="s">
        <v>183</v>
      </c>
      <c r="E7" s="28"/>
      <c r="F7" s="28" t="s">
        <v>177</v>
      </c>
      <c r="G7" s="28"/>
      <c r="H7" s="19" t="s">
        <v>67</v>
      </c>
    </row>
    <row r="8" spans="1:13">
      <c r="B8" s="49" t="s">
        <v>23</v>
      </c>
      <c r="C8" s="52">
        <v>3.2</v>
      </c>
      <c r="D8" s="49">
        <v>314</v>
      </c>
      <c r="E8" s="28"/>
      <c r="F8" s="28" t="s">
        <v>164</v>
      </c>
      <c r="G8" s="28"/>
      <c r="H8" s="28" t="s">
        <v>178</v>
      </c>
      <c r="M8" s="118"/>
    </row>
    <row r="9" spans="1:13">
      <c r="B9" s="49" t="s">
        <v>24</v>
      </c>
      <c r="C9" s="52">
        <v>7.7</v>
      </c>
      <c r="D9" s="49">
        <v>1289</v>
      </c>
      <c r="E9" s="28"/>
      <c r="F9" s="29" t="s">
        <v>179</v>
      </c>
      <c r="G9" s="28"/>
      <c r="H9" s="28" t="s">
        <v>182</v>
      </c>
      <c r="I9" s="108"/>
      <c r="J9" s="116"/>
      <c r="M9" s="118"/>
    </row>
    <row r="10" spans="1:13">
      <c r="B10" s="49" t="s">
        <v>25</v>
      </c>
      <c r="C10" s="52">
        <v>11</v>
      </c>
      <c r="D10" s="49">
        <v>73</v>
      </c>
      <c r="E10" s="28"/>
      <c r="F10" s="29" t="s">
        <v>179</v>
      </c>
      <c r="G10" s="28"/>
      <c r="H10" s="28"/>
      <c r="I10" s="108"/>
      <c r="J10" s="114"/>
      <c r="M10" s="118"/>
    </row>
    <row r="11" spans="1:13">
      <c r="B11" s="49" t="s">
        <v>26</v>
      </c>
      <c r="C11" s="52">
        <v>13.86</v>
      </c>
      <c r="D11" s="49">
        <v>22</v>
      </c>
      <c r="E11" s="28"/>
      <c r="F11" s="29" t="s">
        <v>179</v>
      </c>
      <c r="G11" s="28"/>
      <c r="H11" s="28"/>
      <c r="I11" s="108"/>
      <c r="J11" s="114"/>
      <c r="L11" s="113"/>
      <c r="M11" s="118"/>
    </row>
    <row r="12" spans="1:13">
      <c r="B12" s="49" t="s">
        <v>27</v>
      </c>
      <c r="C12" s="52">
        <v>13.3</v>
      </c>
      <c r="D12" s="49">
        <v>11</v>
      </c>
      <c r="E12" s="28"/>
      <c r="F12" s="29" t="s">
        <v>180</v>
      </c>
      <c r="G12" s="28"/>
      <c r="H12" s="28" t="s">
        <v>181</v>
      </c>
      <c r="I12" s="108"/>
      <c r="J12" s="115"/>
      <c r="M12" s="118"/>
    </row>
    <row r="13" spans="1:13">
      <c r="B13" s="49" t="s">
        <v>28</v>
      </c>
      <c r="C13" s="52">
        <v>19</v>
      </c>
      <c r="D13" s="49">
        <v>25</v>
      </c>
      <c r="E13" s="28"/>
      <c r="F13" s="29" t="s">
        <v>180</v>
      </c>
      <c r="G13" s="28"/>
      <c r="H13" s="28"/>
      <c r="I13" s="108"/>
      <c r="J13" s="114"/>
      <c r="M13" s="118"/>
    </row>
    <row r="14" spans="1:13">
      <c r="B14" s="49" t="s">
        <v>29</v>
      </c>
      <c r="C14" s="52">
        <v>23.94</v>
      </c>
      <c r="D14" s="49">
        <v>21</v>
      </c>
      <c r="E14" s="28"/>
      <c r="F14" s="29" t="s">
        <v>180</v>
      </c>
      <c r="G14" s="28"/>
      <c r="H14" s="28"/>
      <c r="I14" s="108"/>
      <c r="J14" s="114"/>
      <c r="M14" s="118"/>
    </row>
    <row r="15" spans="1:13">
      <c r="B15" s="49" t="s">
        <v>30</v>
      </c>
      <c r="C15" s="52">
        <v>30.4</v>
      </c>
      <c r="D15" s="49">
        <v>10</v>
      </c>
      <c r="E15" s="28"/>
      <c r="F15" s="29" t="s">
        <v>180</v>
      </c>
      <c r="G15" s="28"/>
      <c r="H15" s="28"/>
      <c r="I15" s="108"/>
      <c r="J15" s="114"/>
      <c r="M15" s="118"/>
    </row>
    <row r="16" spans="1:13">
      <c r="B16" s="49" t="s">
        <v>31</v>
      </c>
      <c r="C16" s="52">
        <v>38</v>
      </c>
      <c r="D16" s="49">
        <v>16</v>
      </c>
      <c r="E16" s="28"/>
      <c r="F16" s="29" t="s">
        <v>180</v>
      </c>
      <c r="G16" s="28"/>
      <c r="H16" s="28"/>
      <c r="I16" s="108"/>
      <c r="J16" s="114"/>
      <c r="M16" s="118"/>
    </row>
    <row r="17" spans="2:13">
      <c r="B17" s="49" t="s">
        <v>33</v>
      </c>
      <c r="C17" s="52">
        <v>47.5</v>
      </c>
      <c r="D17" s="49">
        <v>14</v>
      </c>
      <c r="E17" s="28"/>
      <c r="F17" s="29" t="s">
        <v>180</v>
      </c>
      <c r="G17" s="28"/>
      <c r="H17" s="28"/>
      <c r="I17" s="108"/>
      <c r="J17" s="114"/>
      <c r="M17" s="118"/>
    </row>
    <row r="18" spans="2:13">
      <c r="B18" s="49" t="s">
        <v>32</v>
      </c>
      <c r="C18" s="52">
        <v>60.8</v>
      </c>
      <c r="D18" s="49">
        <v>2</v>
      </c>
      <c r="E18" s="28"/>
      <c r="F18" s="29" t="s">
        <v>180</v>
      </c>
      <c r="G18" s="28"/>
      <c r="H18" s="28"/>
      <c r="I18" s="108"/>
      <c r="J18" s="114"/>
      <c r="M18" s="118"/>
    </row>
    <row r="19" spans="2:13">
      <c r="B19" s="49" t="s">
        <v>34</v>
      </c>
      <c r="C19" s="52">
        <v>76</v>
      </c>
      <c r="D19" s="49">
        <v>3</v>
      </c>
      <c r="E19" s="28"/>
      <c r="F19" s="29" t="s">
        <v>180</v>
      </c>
      <c r="G19" s="28"/>
      <c r="H19" s="28"/>
      <c r="I19" s="108"/>
      <c r="J19" s="114"/>
      <c r="M19" s="118"/>
    </row>
    <row r="20" spans="2:13">
      <c r="B20" s="49" t="s">
        <v>35</v>
      </c>
      <c r="C20" s="52">
        <v>85.5</v>
      </c>
      <c r="D20" s="49">
        <v>1</v>
      </c>
      <c r="E20" s="28"/>
      <c r="F20" s="29" t="s">
        <v>180</v>
      </c>
      <c r="G20" s="28"/>
      <c r="H20" s="28"/>
      <c r="I20" s="108"/>
      <c r="J20" s="114"/>
    </row>
    <row r="21" spans="2:13">
      <c r="B21" s="49" t="s">
        <v>36</v>
      </c>
      <c r="C21" s="52">
        <v>95</v>
      </c>
      <c r="D21" s="49"/>
      <c r="E21" s="28"/>
      <c r="F21" s="29" t="s">
        <v>180</v>
      </c>
      <c r="G21" s="28"/>
      <c r="H21" s="28"/>
      <c r="I21" s="108"/>
      <c r="J21" s="114"/>
    </row>
    <row r="22" spans="2:13">
      <c r="B22" s="49" t="s">
        <v>37</v>
      </c>
      <c r="C22" s="52">
        <v>119.7</v>
      </c>
      <c r="D22" s="49"/>
      <c r="E22" s="28"/>
      <c r="F22" s="29" t="s">
        <v>180</v>
      </c>
      <c r="G22" s="28"/>
      <c r="H22" s="28"/>
      <c r="I22" s="108"/>
      <c r="J22" s="114"/>
    </row>
    <row r="23" spans="2:13">
      <c r="B23" s="49" t="s">
        <v>38</v>
      </c>
      <c r="C23" s="52">
        <v>133</v>
      </c>
      <c r="D23" s="49"/>
      <c r="E23" s="28"/>
      <c r="F23" s="29" t="s">
        <v>180</v>
      </c>
      <c r="G23" s="28"/>
      <c r="H23" s="28"/>
      <c r="I23" s="108"/>
      <c r="J23" s="114"/>
    </row>
    <row r="24" spans="2:13">
      <c r="B24" s="49" t="s">
        <v>39</v>
      </c>
      <c r="C24" s="52">
        <v>152</v>
      </c>
      <c r="D24" s="49"/>
      <c r="E24" s="28"/>
      <c r="F24" s="29" t="s">
        <v>180</v>
      </c>
      <c r="G24" s="28"/>
      <c r="H24" s="28"/>
      <c r="I24" s="108"/>
      <c r="J24" s="114"/>
    </row>
    <row r="25" spans="2:13">
      <c r="B25" s="26" t="s">
        <v>2</v>
      </c>
      <c r="C25" s="9"/>
      <c r="D25" s="50">
        <f>SUM(D8:D24)</f>
        <v>1801</v>
      </c>
      <c r="E25" s="28"/>
      <c r="F25" s="28"/>
      <c r="G25" s="28"/>
    </row>
    <row r="26" spans="2:13">
      <c r="B26" s="3"/>
      <c r="C26" s="7"/>
      <c r="D26" s="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>
    <tabColor rgb="FFCCFFCC"/>
  </sheetPr>
  <dimension ref="A1:M88"/>
  <sheetViews>
    <sheetView showGridLines="0" zoomScale="85" zoomScaleNormal="85" workbookViewId="0"/>
  </sheetViews>
  <sheetFormatPr defaultRowHeight="15"/>
  <cols>
    <col min="1" max="1" width="9.140625" style="51"/>
    <col min="2" max="2" width="68" style="51" customWidth="1"/>
    <col min="3" max="3" width="20.28515625" style="51" customWidth="1"/>
    <col min="4" max="4" width="10.85546875" style="51" customWidth="1"/>
    <col min="5" max="5" width="23" style="51" customWidth="1"/>
    <col min="6" max="6" width="22.42578125" style="51" customWidth="1"/>
    <col min="7" max="7" width="6" style="51" customWidth="1"/>
    <col min="8" max="8" width="37.85546875" style="51" customWidth="1"/>
    <col min="9" max="9" width="16.28515625" style="51" customWidth="1"/>
    <col min="10" max="10" width="10.42578125" style="51" customWidth="1"/>
    <col min="11" max="16384" width="9.140625" style="51"/>
  </cols>
  <sheetData>
    <row r="1" spans="1:13" s="18" customFormat="1" ht="26.25">
      <c r="A1" s="18" t="s">
        <v>41</v>
      </c>
    </row>
    <row r="2" spans="1:13" s="11" customFormat="1" ht="7.5" customHeight="1"/>
    <row r="3" spans="1:13" s="56" customFormat="1" ht="12.75">
      <c r="B3" s="92"/>
      <c r="C3" s="92"/>
      <c r="D3" s="92"/>
      <c r="E3" s="92"/>
      <c r="F3" s="93"/>
      <c r="G3" s="93"/>
    </row>
    <row r="4" spans="1:13" s="94" customFormat="1" ht="18.75" customHeight="1">
      <c r="B4" s="13" t="s">
        <v>94</v>
      </c>
    </row>
    <row r="5" spans="1:13" s="56" customFormat="1" ht="12.75"/>
    <row r="6" spans="1:13">
      <c r="B6" s="41"/>
      <c r="E6" s="97"/>
      <c r="F6" s="97"/>
      <c r="G6" s="97"/>
      <c r="K6" s="43"/>
    </row>
    <row r="7" spans="1:13">
      <c r="B7" s="41" t="s">
        <v>100</v>
      </c>
      <c r="E7" s="41" t="s">
        <v>161</v>
      </c>
      <c r="G7" s="41"/>
      <c r="H7" s="41" t="s">
        <v>46</v>
      </c>
      <c r="M7" s="43"/>
    </row>
    <row r="8" spans="1:13">
      <c r="B8" s="51" t="s">
        <v>68</v>
      </c>
      <c r="C8" s="26" t="s">
        <v>101</v>
      </c>
      <c r="E8" s="98">
        <v>392267.4104345669</v>
      </c>
      <c r="G8" s="97"/>
      <c r="M8" s="43"/>
    </row>
    <row r="9" spans="1:13">
      <c r="B9" s="51" t="s">
        <v>69</v>
      </c>
      <c r="C9" s="26" t="s">
        <v>101</v>
      </c>
      <c r="E9" s="98">
        <v>9918.4174366871994</v>
      </c>
      <c r="G9" s="97"/>
      <c r="H9" s="43" t="s">
        <v>202</v>
      </c>
    </row>
    <row r="10" spans="1:13">
      <c r="B10" s="51" t="s">
        <v>70</v>
      </c>
      <c r="C10" s="26" t="s">
        <v>101</v>
      </c>
      <c r="E10" s="98">
        <v>1016136.1938687589</v>
      </c>
      <c r="G10" s="97"/>
      <c r="H10" s="121"/>
      <c r="M10" s="43"/>
    </row>
    <row r="11" spans="1:13">
      <c r="B11" s="51" t="s">
        <v>71</v>
      </c>
      <c r="C11" s="26" t="s">
        <v>101</v>
      </c>
      <c r="E11" s="98">
        <v>41204.698929452788</v>
      </c>
      <c r="G11" s="97"/>
      <c r="M11" s="43"/>
    </row>
    <row r="12" spans="1:13">
      <c r="B12" s="51" t="s">
        <v>72</v>
      </c>
      <c r="C12" s="26" t="s">
        <v>101</v>
      </c>
      <c r="E12" s="47">
        <v>44794.530988127888</v>
      </c>
      <c r="G12" s="97"/>
      <c r="M12" s="6"/>
    </row>
    <row r="13" spans="1:13">
      <c r="B13" s="51" t="s">
        <v>3</v>
      </c>
      <c r="C13" s="26" t="s">
        <v>101</v>
      </c>
      <c r="E13" s="99">
        <f>SUM(E8:E12)</f>
        <v>1504321.2516575938</v>
      </c>
      <c r="G13" s="97"/>
      <c r="M13" s="6"/>
    </row>
    <row r="14" spans="1:13">
      <c r="G14" s="97"/>
      <c r="M14" s="6"/>
    </row>
    <row r="15" spans="1:13">
      <c r="B15" s="41" t="s">
        <v>102</v>
      </c>
      <c r="E15" s="97"/>
      <c r="G15" s="97"/>
      <c r="M15" s="6"/>
    </row>
    <row r="16" spans="1:13">
      <c r="B16" s="51" t="s">
        <v>68</v>
      </c>
      <c r="C16" s="26" t="s">
        <v>101</v>
      </c>
      <c r="E16" s="98">
        <v>12667.961586550595</v>
      </c>
      <c r="G16" s="97"/>
      <c r="M16" s="6"/>
    </row>
    <row r="17" spans="2:13">
      <c r="B17" s="51" t="s">
        <v>69</v>
      </c>
      <c r="C17" s="26" t="s">
        <v>101</v>
      </c>
      <c r="E17" s="98">
        <v>273.45756331279949</v>
      </c>
      <c r="G17" s="97"/>
      <c r="M17" s="6"/>
    </row>
    <row r="18" spans="2:13">
      <c r="B18" s="51" t="s">
        <v>70</v>
      </c>
      <c r="C18" s="26" t="s">
        <v>101</v>
      </c>
      <c r="E18" s="98">
        <v>71166.147462506473</v>
      </c>
      <c r="G18" s="97"/>
      <c r="M18" s="6"/>
    </row>
    <row r="19" spans="2:13">
      <c r="B19" s="51" t="s">
        <v>71</v>
      </c>
      <c r="C19" s="26" t="s">
        <v>101</v>
      </c>
      <c r="E19" s="98">
        <v>9969.8853557043185</v>
      </c>
      <c r="G19" s="97"/>
      <c r="M19" s="6"/>
    </row>
    <row r="20" spans="2:13">
      <c r="B20" s="51" t="s">
        <v>72</v>
      </c>
      <c r="C20" s="26" t="s">
        <v>101</v>
      </c>
      <c r="E20" s="47">
        <v>11000.031362599972</v>
      </c>
      <c r="G20" s="97"/>
      <c r="M20" s="6"/>
    </row>
    <row r="21" spans="2:13">
      <c r="B21" s="51" t="s">
        <v>3</v>
      </c>
      <c r="C21" s="26" t="s">
        <v>101</v>
      </c>
      <c r="E21" s="99">
        <f t="shared" ref="E21" si="0">SUM(E16:E20)</f>
        <v>105077.48333067415</v>
      </c>
      <c r="G21" s="97"/>
      <c r="M21" s="6"/>
    </row>
    <row r="22" spans="2:13">
      <c r="G22" s="97"/>
      <c r="M22" s="6"/>
    </row>
    <row r="23" spans="2:13">
      <c r="B23" s="41" t="s">
        <v>5</v>
      </c>
      <c r="G23" s="97"/>
      <c r="I23" s="6"/>
    </row>
    <row r="24" spans="2:13">
      <c r="B24" s="26" t="s">
        <v>103</v>
      </c>
      <c r="C24" s="26" t="s">
        <v>101</v>
      </c>
      <c r="E24" s="100">
        <f>E13</f>
        <v>1504321.2516575938</v>
      </c>
      <c r="G24" s="97"/>
      <c r="K24" s="6"/>
    </row>
    <row r="25" spans="2:13">
      <c r="B25" s="26" t="s">
        <v>73</v>
      </c>
      <c r="C25" s="26" t="s">
        <v>101</v>
      </c>
      <c r="E25" s="100">
        <f>E21</f>
        <v>105077.48333067415</v>
      </c>
      <c r="G25" s="97"/>
      <c r="K25" s="6"/>
    </row>
    <row r="26" spans="2:13">
      <c r="B26" s="26"/>
      <c r="C26" s="26"/>
      <c r="G26" s="97"/>
      <c r="K26" s="6"/>
    </row>
    <row r="27" spans="2:13">
      <c r="B27" s="26"/>
      <c r="C27" s="26"/>
      <c r="E27" s="97"/>
      <c r="G27" s="97"/>
      <c r="K27" s="6"/>
    </row>
    <row r="28" spans="2:13" s="56" customFormat="1" ht="12.75">
      <c r="H28" s="96"/>
    </row>
    <row r="29" spans="2:13" s="94" customFormat="1" ht="18.75" customHeight="1">
      <c r="B29" s="13" t="s">
        <v>6</v>
      </c>
    </row>
    <row r="30" spans="2:13" s="56" customFormat="1" ht="12.75">
      <c r="B30" s="95"/>
      <c r="C30" s="95"/>
      <c r="D30" s="95"/>
      <c r="E30" s="95"/>
      <c r="F30" s="95"/>
      <c r="G30" s="95"/>
    </row>
    <row r="31" spans="2:13">
      <c r="B31" s="31" t="s">
        <v>74</v>
      </c>
      <c r="C31" s="31"/>
      <c r="D31" s="31"/>
      <c r="E31" s="41" t="s">
        <v>161</v>
      </c>
      <c r="G31" s="41"/>
      <c r="H31" s="41" t="s">
        <v>46</v>
      </c>
      <c r="I31" s="56"/>
    </row>
    <row r="32" spans="2:13">
      <c r="B32" s="26" t="s">
        <v>148</v>
      </c>
      <c r="C32" s="26" t="s">
        <v>101</v>
      </c>
      <c r="D32" s="26"/>
      <c r="E32" s="101">
        <v>3745000</v>
      </c>
      <c r="G32" s="41"/>
      <c r="H32" s="43" t="s">
        <v>224</v>
      </c>
    </row>
    <row r="33" spans="2:8">
      <c r="B33" s="26" t="s">
        <v>149</v>
      </c>
      <c r="C33" s="26" t="s">
        <v>101</v>
      </c>
      <c r="D33" s="26"/>
      <c r="E33" s="101">
        <v>674000</v>
      </c>
      <c r="G33" s="41"/>
      <c r="H33" s="121"/>
    </row>
    <row r="34" spans="2:8">
      <c r="B34" s="26" t="s">
        <v>225</v>
      </c>
      <c r="C34" s="26" t="s">
        <v>101</v>
      </c>
      <c r="D34" s="26"/>
      <c r="E34" s="54">
        <f>E32+E33</f>
        <v>4419000</v>
      </c>
      <c r="G34" s="41"/>
      <c r="H34" s="121"/>
    </row>
    <row r="35" spans="2:8">
      <c r="B35" s="26" t="s">
        <v>75</v>
      </c>
      <c r="C35" s="31" t="s">
        <v>4</v>
      </c>
      <c r="D35" s="102">
        <v>0.01</v>
      </c>
      <c r="E35" s="31"/>
      <c r="G35" s="41"/>
      <c r="H35" s="43" t="s">
        <v>150</v>
      </c>
    </row>
    <row r="36" spans="2:8">
      <c r="B36" s="26" t="s">
        <v>77</v>
      </c>
      <c r="C36" s="26" t="s">
        <v>101</v>
      </c>
      <c r="D36" s="31"/>
      <c r="E36" s="54">
        <f>E34*$D$35</f>
        <v>44190</v>
      </c>
      <c r="G36" s="41"/>
    </row>
    <row r="37" spans="2:8">
      <c r="B37" s="31"/>
      <c r="C37" s="31"/>
      <c r="D37" s="103"/>
      <c r="E37" s="31"/>
      <c r="G37" s="41"/>
    </row>
    <row r="38" spans="2:8">
      <c r="B38" s="31"/>
      <c r="C38" s="31"/>
      <c r="D38" s="31"/>
      <c r="E38" s="31"/>
      <c r="G38" s="41"/>
    </row>
    <row r="39" spans="2:8">
      <c r="B39" s="41" t="s">
        <v>42</v>
      </c>
      <c r="G39" s="41"/>
    </row>
    <row r="40" spans="2:8">
      <c r="G40" s="41"/>
    </row>
    <row r="41" spans="2:8">
      <c r="B41" s="41" t="s">
        <v>104</v>
      </c>
      <c r="E41" s="41"/>
      <c r="G41" s="41"/>
      <c r="H41" s="43"/>
    </row>
    <row r="42" spans="2:8">
      <c r="B42" s="41" t="s">
        <v>43</v>
      </c>
      <c r="C42" s="41"/>
      <c r="D42" s="41"/>
      <c r="E42" s="41" t="s">
        <v>161</v>
      </c>
      <c r="G42" s="41"/>
    </row>
    <row r="43" spans="2:8">
      <c r="B43" s="51" t="s">
        <v>44</v>
      </c>
      <c r="C43" s="26" t="s">
        <v>101</v>
      </c>
      <c r="D43" s="26"/>
      <c r="E43" s="104">
        <v>924018.26483008428</v>
      </c>
      <c r="G43" s="41"/>
      <c r="H43" s="43" t="s">
        <v>78</v>
      </c>
    </row>
    <row r="44" spans="2:8">
      <c r="B44" s="51" t="s">
        <v>45</v>
      </c>
      <c r="C44" s="26" t="s">
        <v>101</v>
      </c>
      <c r="D44" s="26"/>
      <c r="E44" s="104">
        <v>24719.23</v>
      </c>
      <c r="G44" s="41"/>
      <c r="H44" s="43" t="s">
        <v>78</v>
      </c>
    </row>
    <row r="45" spans="2:8">
      <c r="B45" s="51" t="s">
        <v>66</v>
      </c>
      <c r="C45" s="26" t="s">
        <v>101</v>
      </c>
      <c r="D45" s="26"/>
      <c r="E45" s="105">
        <f>SUM(E43:E44)</f>
        <v>948737.49483008427</v>
      </c>
      <c r="G45" s="41"/>
      <c r="H45" s="6"/>
    </row>
    <row r="46" spans="2:8">
      <c r="G46" s="41"/>
    </row>
    <row r="47" spans="2:8">
      <c r="B47" s="51" t="s">
        <v>66</v>
      </c>
      <c r="C47" s="26" t="s">
        <v>101</v>
      </c>
      <c r="E47" s="106">
        <f>E45</f>
        <v>948737.49483008427</v>
      </c>
      <c r="G47" s="41"/>
    </row>
    <row r="48" spans="2:8">
      <c r="G48" s="41"/>
    </row>
    <row r="49" spans="1:9">
      <c r="H49" s="60"/>
    </row>
    <row r="50" spans="1:9" s="56" customFormat="1" ht="12.75">
      <c r="H50" s="96"/>
    </row>
    <row r="51" spans="1:9" s="94" customFormat="1" ht="18.75" customHeight="1">
      <c r="B51" s="13" t="s">
        <v>92</v>
      </c>
    </row>
    <row r="52" spans="1:9" s="56" customFormat="1" ht="12.75">
      <c r="H52" s="96"/>
    </row>
    <row r="53" spans="1:9" s="58" customFormat="1">
      <c r="A53" s="56"/>
      <c r="B53" s="61" t="s">
        <v>165</v>
      </c>
      <c r="I53" s="6"/>
    </row>
    <row r="54" spans="1:9" s="58" customFormat="1">
      <c r="A54" s="56"/>
      <c r="B54" s="61" t="s">
        <v>166</v>
      </c>
    </row>
    <row r="55" spans="1:9" s="58" customFormat="1">
      <c r="A55" s="56"/>
      <c r="B55" s="61" t="s">
        <v>184</v>
      </c>
    </row>
    <row r="56" spans="1:9" s="58" customFormat="1">
      <c r="A56" s="56"/>
      <c r="B56" s="61" t="s">
        <v>213</v>
      </c>
      <c r="I56" s="6"/>
    </row>
    <row r="57" spans="1:9" s="58" customFormat="1">
      <c r="A57" s="56"/>
      <c r="B57" s="61"/>
    </row>
    <row r="58" spans="1:9" s="58" customFormat="1">
      <c r="A58" s="56"/>
      <c r="B58" s="61"/>
    </row>
    <row r="59" spans="1:9" s="58" customFormat="1">
      <c r="A59" s="56"/>
      <c r="B59" s="58" t="s">
        <v>167</v>
      </c>
      <c r="E59" s="58" t="s">
        <v>13</v>
      </c>
      <c r="H59" s="41" t="s">
        <v>46</v>
      </c>
    </row>
    <row r="60" spans="1:9" s="58" customFormat="1">
      <c r="A60" s="56"/>
      <c r="B60" s="61" t="s">
        <v>98</v>
      </c>
      <c r="C60" s="58" t="s">
        <v>76</v>
      </c>
      <c r="E60" s="133">
        <f>Input!D22</f>
        <v>2129</v>
      </c>
      <c r="H60" s="61" t="s">
        <v>172</v>
      </c>
    </row>
    <row r="61" spans="1:9" s="58" customFormat="1">
      <c r="A61" s="56"/>
      <c r="B61" s="61" t="s">
        <v>95</v>
      </c>
      <c r="C61" s="26" t="s">
        <v>101</v>
      </c>
      <c r="E61" s="135">
        <f>'Calculation Electricity'!E48/(1+'CPI CN'!E31)/(1+'CPI CN'!E32)</f>
        <v>40.566099924445645</v>
      </c>
      <c r="H61" s="61"/>
    </row>
    <row r="62" spans="1:9" s="58" customFormat="1">
      <c r="A62" s="56"/>
      <c r="B62" s="61" t="s">
        <v>168</v>
      </c>
      <c r="C62" s="26" t="s">
        <v>101</v>
      </c>
      <c r="E62" s="120">
        <f>E60*E61</f>
        <v>86365.226739144782</v>
      </c>
      <c r="H62" s="61"/>
    </row>
    <row r="63" spans="1:9" s="58" customFormat="1">
      <c r="A63" s="56"/>
      <c r="B63" s="61"/>
    </row>
    <row r="64" spans="1:9" s="58" customFormat="1">
      <c r="A64" s="56"/>
      <c r="B64" s="61"/>
    </row>
    <row r="65" spans="1:9" s="58" customFormat="1">
      <c r="A65" s="56"/>
      <c r="B65" s="58" t="s">
        <v>169</v>
      </c>
      <c r="E65" s="58" t="s">
        <v>13</v>
      </c>
      <c r="H65" s="41" t="s">
        <v>46</v>
      </c>
    </row>
    <row r="66" spans="1:9" s="58" customFormat="1">
      <c r="A66" s="56"/>
      <c r="B66" s="61" t="s">
        <v>99</v>
      </c>
      <c r="C66" s="58" t="s">
        <v>76</v>
      </c>
      <c r="E66" s="133">
        <f>Input!D23</f>
        <v>50</v>
      </c>
      <c r="H66" s="125" t="s">
        <v>193</v>
      </c>
      <c r="I66" s="122"/>
    </row>
    <row r="67" spans="1:9" s="58" customFormat="1">
      <c r="A67" s="56"/>
      <c r="B67" s="61" t="s">
        <v>170</v>
      </c>
      <c r="C67" s="26" t="s">
        <v>101</v>
      </c>
      <c r="E67" s="119">
        <v>400</v>
      </c>
      <c r="H67" s="43" t="s">
        <v>223</v>
      </c>
      <c r="I67" s="122"/>
    </row>
    <row r="68" spans="1:9" s="58" customFormat="1">
      <c r="A68" s="56"/>
      <c r="B68" s="61" t="s">
        <v>171</v>
      </c>
      <c r="C68" s="26" t="s">
        <v>101</v>
      </c>
      <c r="E68" s="120">
        <f>E66*E67</f>
        <v>20000</v>
      </c>
      <c r="H68" s="122"/>
    </row>
    <row r="69" spans="1:9" s="58" customFormat="1">
      <c r="A69" s="56"/>
      <c r="B69" s="61"/>
      <c r="H69" s="107"/>
    </row>
    <row r="70" spans="1:9" s="56" customFormat="1" ht="12.75"/>
    <row r="71" spans="1:9" s="56" customFormat="1" ht="12.75"/>
    <row r="72" spans="1:9" s="56" customFormat="1" ht="12.75"/>
    <row r="73" spans="1:9" s="56" customFormat="1" ht="12.75"/>
    <row r="74" spans="1:9" s="56" customFormat="1" ht="12.75"/>
    <row r="75" spans="1:9" s="56" customFormat="1" ht="12.75">
      <c r="B75" s="93" t="s">
        <v>219</v>
      </c>
    </row>
    <row r="76" spans="1:9" s="56" customFormat="1" ht="12.75"/>
    <row r="77" spans="1:9" s="56" customFormat="1" ht="12.75"/>
    <row r="78" spans="1:9" s="56" customFormat="1" ht="12.75"/>
    <row r="79" spans="1:9" s="56" customFormat="1" ht="12.75"/>
    <row r="80" spans="1:9" s="56" customFormat="1" ht="12.75"/>
    <row r="81" s="56" customFormat="1" ht="12.75"/>
    <row r="82" s="56" customFormat="1" ht="12.75"/>
    <row r="83" s="56" customFormat="1" ht="12.75"/>
    <row r="84" s="56" customFormat="1" ht="12.75"/>
    <row r="85" s="56" customFormat="1" ht="12.75"/>
    <row r="86" s="56" customFormat="1" ht="12.75"/>
    <row r="87" s="56" customFormat="1" ht="12.75"/>
    <row r="88" s="56" customFormat="1" ht="12.7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9">
    <tabColor rgb="FFCCFFCC"/>
  </sheetPr>
  <dimension ref="B2:F38"/>
  <sheetViews>
    <sheetView showGridLines="0" zoomScale="85" zoomScaleNormal="85" workbookViewId="0"/>
  </sheetViews>
  <sheetFormatPr defaultRowHeight="15"/>
  <cols>
    <col min="1" max="1" width="6.140625" style="19" customWidth="1"/>
    <col min="2" max="2" width="45" style="19" customWidth="1"/>
    <col min="3" max="3" width="9.140625" style="19"/>
    <col min="4" max="6" width="17.7109375" style="19" customWidth="1"/>
    <col min="7" max="16384" width="9.140625" style="19"/>
  </cols>
  <sheetData>
    <row r="2" spans="2:6" s="18" customFormat="1" ht="26.25">
      <c r="B2" s="18" t="s">
        <v>111</v>
      </c>
    </row>
    <row r="4" spans="2:6">
      <c r="B4" s="19" t="s">
        <v>112</v>
      </c>
    </row>
    <row r="5" spans="2:6">
      <c r="B5" s="19" t="s">
        <v>113</v>
      </c>
    </row>
    <row r="6" spans="2:6">
      <c r="B6" s="19" t="s">
        <v>114</v>
      </c>
    </row>
    <row r="7" spans="2:6">
      <c r="B7" s="19" t="s">
        <v>115</v>
      </c>
    </row>
    <row r="8" spans="2:6">
      <c r="B8" s="19" t="s">
        <v>116</v>
      </c>
    </row>
    <row r="10" spans="2:6">
      <c r="B10" s="46" t="s">
        <v>162</v>
      </c>
    </row>
    <row r="12" spans="2:6" s="72" customFormat="1" ht="12.75">
      <c r="B12" s="72" t="s">
        <v>117</v>
      </c>
    </row>
    <row r="14" spans="2:6">
      <c r="B14" s="19" t="s">
        <v>118</v>
      </c>
    </row>
    <row r="15" spans="2:6">
      <c r="B15" s="19" t="s">
        <v>119</v>
      </c>
    </row>
    <row r="16" spans="2:6">
      <c r="D16" s="19" t="s">
        <v>120</v>
      </c>
      <c r="E16" s="19" t="s">
        <v>121</v>
      </c>
      <c r="F16" s="19" t="s">
        <v>122</v>
      </c>
    </row>
    <row r="17" spans="2:6">
      <c r="B17" s="19" t="s">
        <v>123</v>
      </c>
      <c r="C17" s="19" t="s">
        <v>124</v>
      </c>
      <c r="D17" s="42">
        <v>112.08</v>
      </c>
      <c r="E17" s="42">
        <v>122.09</v>
      </c>
      <c r="F17" s="42">
        <v>114.72</v>
      </c>
    </row>
    <row r="18" spans="2:6">
      <c r="B18" s="19" t="s">
        <v>125</v>
      </c>
      <c r="C18" s="19" t="s">
        <v>124</v>
      </c>
      <c r="D18" s="42">
        <v>111.04</v>
      </c>
      <c r="E18" s="42">
        <v>121.51</v>
      </c>
      <c r="F18" s="42">
        <v>114.24</v>
      </c>
    </row>
    <row r="19" spans="2:6">
      <c r="B19" s="19" t="s">
        <v>126</v>
      </c>
      <c r="C19" s="19" t="s">
        <v>124</v>
      </c>
      <c r="D19" s="42">
        <v>111.75</v>
      </c>
      <c r="E19" s="112">
        <v>120.4</v>
      </c>
      <c r="F19" s="112">
        <v>114.46</v>
      </c>
    </row>
    <row r="21" spans="2:6">
      <c r="B21" s="19" t="s">
        <v>127</v>
      </c>
    </row>
    <row r="22" spans="2:6">
      <c r="B22" s="73" t="s">
        <v>128</v>
      </c>
    </row>
    <row r="24" spans="2:6" s="72" customFormat="1" ht="12.75">
      <c r="B24" s="72" t="s">
        <v>129</v>
      </c>
    </row>
    <row r="26" spans="2:6">
      <c r="B26" s="19" t="s">
        <v>130</v>
      </c>
      <c r="C26" s="19" t="s">
        <v>4</v>
      </c>
      <c r="D26" s="74">
        <f t="shared" ref="D26:F27" si="0">D18/D17-1</f>
        <v>-9.2790863668806844E-3</v>
      </c>
      <c r="E26" s="74">
        <f t="shared" si="0"/>
        <v>-4.7505938242280443E-3</v>
      </c>
      <c r="F26" s="74">
        <f t="shared" si="0"/>
        <v>-4.1841004184101083E-3</v>
      </c>
    </row>
    <row r="27" spans="2:6">
      <c r="B27" s="19" t="s">
        <v>131</v>
      </c>
      <c r="C27" s="19" t="s">
        <v>4</v>
      </c>
      <c r="D27" s="74">
        <f t="shared" si="0"/>
        <v>6.3940922190202087E-3</v>
      </c>
      <c r="E27" s="74">
        <f t="shared" si="0"/>
        <v>-9.1350506131182563E-3</v>
      </c>
      <c r="F27" s="74">
        <f t="shared" si="0"/>
        <v>1.9257703081232425E-3</v>
      </c>
    </row>
    <row r="30" spans="2:6">
      <c r="B30" s="19" t="s">
        <v>132</v>
      </c>
    </row>
    <row r="31" spans="2:6">
      <c r="B31" s="19" t="s">
        <v>133</v>
      </c>
      <c r="C31" s="19" t="s">
        <v>4</v>
      </c>
      <c r="D31" s="75">
        <f t="shared" ref="D31:F32" si="1">ROUND(D26,3)</f>
        <v>-8.9999999999999993E-3</v>
      </c>
      <c r="E31" s="75">
        <f t="shared" si="1"/>
        <v>-5.0000000000000001E-3</v>
      </c>
      <c r="F31" s="75">
        <f t="shared" si="1"/>
        <v>-4.0000000000000001E-3</v>
      </c>
    </row>
    <row r="32" spans="2:6">
      <c r="B32" s="19" t="s">
        <v>134</v>
      </c>
      <c r="C32" s="19" t="s">
        <v>4</v>
      </c>
      <c r="D32" s="75">
        <f t="shared" si="1"/>
        <v>6.0000000000000001E-3</v>
      </c>
      <c r="E32" s="75">
        <f t="shared" si="1"/>
        <v>-8.9999999999999993E-3</v>
      </c>
      <c r="F32" s="75">
        <f t="shared" si="1"/>
        <v>2E-3</v>
      </c>
    </row>
    <row r="38" spans="2:2">
      <c r="B38" s="46" t="s">
        <v>219</v>
      </c>
    </row>
  </sheetData>
  <hyperlinks>
    <hyperlink ref="B22" r:id="rId1"/>
  </hyperlinks>
  <pageMargins left="0.7" right="0.7" top="0.75" bottom="0.75" header="0.3" footer="0.3"/>
  <pageSetup paperSize="9" orientation="portrait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>
    <tabColor rgb="FFFFFFCC"/>
  </sheetPr>
  <dimension ref="A1:I55"/>
  <sheetViews>
    <sheetView showGridLines="0" zoomScale="85" zoomScaleNormal="85" workbookViewId="0"/>
  </sheetViews>
  <sheetFormatPr defaultRowHeight="15"/>
  <cols>
    <col min="1" max="1" width="2.85546875" customWidth="1"/>
    <col min="2" max="2" width="68.28515625" customWidth="1"/>
    <col min="3" max="3" width="26.42578125" customWidth="1"/>
    <col min="4" max="4" width="22.140625" customWidth="1"/>
    <col min="5" max="5" width="14.85546875" customWidth="1"/>
    <col min="6" max="6" width="20.85546875" bestFit="1" customWidth="1"/>
    <col min="7" max="9" width="22.140625" customWidth="1"/>
    <col min="10" max="10" width="4.28515625" customWidth="1"/>
    <col min="11" max="11" width="19.42578125" customWidth="1"/>
  </cols>
  <sheetData>
    <row r="1" spans="1:9" s="18" customFormat="1" ht="26.25">
      <c r="B1" s="18" t="s">
        <v>51</v>
      </c>
    </row>
    <row r="3" spans="1:9" s="19" customFormat="1">
      <c r="B3" s="19" t="s">
        <v>86</v>
      </c>
    </row>
    <row r="4" spans="1:9" s="19" customFormat="1">
      <c r="B4" s="19" t="s">
        <v>88</v>
      </c>
    </row>
    <row r="5" spans="1:9" s="19" customFormat="1">
      <c r="B5" s="19" t="s">
        <v>89</v>
      </c>
    </row>
    <row r="6" spans="1:9" s="19" customFormat="1">
      <c r="B6" s="19" t="s">
        <v>90</v>
      </c>
    </row>
    <row r="7" spans="1:9" s="19" customFormat="1"/>
    <row r="8" spans="1:9" s="19" customFormat="1"/>
    <row r="9" spans="1:9" s="21" customFormat="1" ht="15.75">
      <c r="B9" s="21" t="s">
        <v>53</v>
      </c>
    </row>
    <row r="10" spans="1:9" s="33" customFormat="1" ht="15.75"/>
    <row r="11" spans="1:9">
      <c r="A11" s="17"/>
      <c r="B11" s="20" t="s">
        <v>58</v>
      </c>
      <c r="C11" s="22" t="s">
        <v>4</v>
      </c>
      <c r="D11" s="39">
        <f>Input!D4</f>
        <v>6.7400000000000002E-2</v>
      </c>
      <c r="E11" s="20"/>
      <c r="F11" s="19"/>
      <c r="G11" s="19"/>
      <c r="H11" s="19"/>
      <c r="I11" s="19"/>
    </row>
    <row r="12" spans="1:9" s="19" customFormat="1">
      <c r="B12" s="19" t="s">
        <v>22</v>
      </c>
      <c r="C12" s="26" t="s">
        <v>4</v>
      </c>
      <c r="D12" s="39">
        <f>Input!D5</f>
        <v>-5.0000000000000001E-3</v>
      </c>
      <c r="E12" s="28"/>
    </row>
    <row r="13" spans="1:9" s="19" customFormat="1">
      <c r="B13" s="19" t="s">
        <v>57</v>
      </c>
      <c r="C13" s="26" t="s">
        <v>4</v>
      </c>
      <c r="D13" s="39">
        <f>Input!D6</f>
        <v>-8.9999999999999993E-3</v>
      </c>
      <c r="E13" s="28"/>
    </row>
    <row r="14" spans="1:9">
      <c r="C14" s="15"/>
    </row>
    <row r="15" spans="1:9" s="23" customFormat="1" ht="15.75">
      <c r="B15" s="23" t="s">
        <v>52</v>
      </c>
    </row>
    <row r="16" spans="1:9">
      <c r="I16" s="1"/>
    </row>
    <row r="17" spans="2:9">
      <c r="B17" s="24" t="s">
        <v>151</v>
      </c>
      <c r="C17" s="24"/>
      <c r="D17" s="24" t="s">
        <v>161</v>
      </c>
      <c r="E17" s="19"/>
      <c r="F17" s="19"/>
    </row>
    <row r="18" spans="2:9">
      <c r="B18" s="25" t="s">
        <v>54</v>
      </c>
      <c r="C18" s="45" t="s">
        <v>60</v>
      </c>
      <c r="D18" s="16">
        <f>'Costs Electricity'!E24</f>
        <v>1504321.2516575938</v>
      </c>
      <c r="E18" s="19"/>
      <c r="F18" s="19"/>
    </row>
    <row r="19" spans="2:9">
      <c r="B19" s="25" t="s">
        <v>55</v>
      </c>
      <c r="C19" s="45" t="s">
        <v>60</v>
      </c>
      <c r="D19" s="16">
        <f>'Costs Electricity'!E25</f>
        <v>105077.48333067415</v>
      </c>
      <c r="E19" s="19"/>
      <c r="F19" s="19"/>
    </row>
    <row r="20" spans="2:9" s="19" customFormat="1">
      <c r="B20" s="32" t="s">
        <v>56</v>
      </c>
      <c r="C20" s="45" t="s">
        <v>60</v>
      </c>
      <c r="D20" s="35">
        <f>$D11*D18</f>
        <v>101391.25236172182</v>
      </c>
    </row>
    <row r="21" spans="2:9">
      <c r="B21" s="26" t="s">
        <v>5</v>
      </c>
      <c r="C21" s="45" t="s">
        <v>60</v>
      </c>
      <c r="D21" s="38">
        <f>D19+D20</f>
        <v>206468.73569239597</v>
      </c>
      <c r="E21" s="19"/>
      <c r="F21" s="19"/>
    </row>
    <row r="22" spans="2:9">
      <c r="B22" s="26" t="s">
        <v>6</v>
      </c>
      <c r="C22" s="45" t="s">
        <v>60</v>
      </c>
      <c r="D22" s="36">
        <f>'Costs Electricity'!E47</f>
        <v>948737.49483008427</v>
      </c>
      <c r="E22" s="19"/>
      <c r="F22" s="19"/>
    </row>
    <row r="23" spans="2:9" s="19" customFormat="1">
      <c r="B23" s="32" t="s">
        <v>105</v>
      </c>
      <c r="C23" s="45" t="s">
        <v>60</v>
      </c>
      <c r="D23" s="36">
        <f>'Costs Electricity'!E36</f>
        <v>44190</v>
      </c>
    </row>
    <row r="24" spans="2:9">
      <c r="B24" s="26" t="s">
        <v>7</v>
      </c>
      <c r="C24" s="45" t="s">
        <v>60</v>
      </c>
      <c r="D24" s="38">
        <f>D21+D22+D23</f>
        <v>1199396.2305224803</v>
      </c>
      <c r="E24" s="19"/>
      <c r="F24" s="19"/>
    </row>
    <row r="25" spans="2:9">
      <c r="E25" s="19"/>
      <c r="F25" s="19"/>
    </row>
    <row r="26" spans="2:9">
      <c r="E26" s="19"/>
      <c r="F26" s="19"/>
    </row>
    <row r="27" spans="2:9" s="30" customFormat="1" ht="15.75">
      <c r="B27" s="55" t="s">
        <v>87</v>
      </c>
    </row>
    <row r="28" spans="2:9" s="19" customFormat="1">
      <c r="I28" s="1"/>
    </row>
    <row r="29" spans="2:9" s="19" customFormat="1">
      <c r="B29" s="46" t="s">
        <v>163</v>
      </c>
      <c r="G29" s="41"/>
    </row>
    <row r="30" spans="2:9" s="19" customFormat="1"/>
    <row r="31" spans="2:9" s="19" customFormat="1"/>
    <row r="32" spans="2:9" s="30" customFormat="1" ht="15.75">
      <c r="B32" s="30" t="s">
        <v>93</v>
      </c>
    </row>
    <row r="33" spans="2:9" s="19" customFormat="1">
      <c r="I33" s="1"/>
    </row>
    <row r="34" spans="2:9" s="19" customFormat="1">
      <c r="B34" s="31" t="s">
        <v>152</v>
      </c>
      <c r="C34" s="31"/>
      <c r="D34" s="31" t="s">
        <v>161</v>
      </c>
    </row>
    <row r="35" spans="2:9" s="19" customFormat="1">
      <c r="B35" s="26" t="s">
        <v>91</v>
      </c>
      <c r="C35" s="45" t="s">
        <v>60</v>
      </c>
      <c r="D35" s="34">
        <v>53558.04</v>
      </c>
      <c r="F35" s="19" t="s">
        <v>79</v>
      </c>
    </row>
    <row r="36" spans="2:9" s="19" customFormat="1">
      <c r="B36" s="32" t="s">
        <v>171</v>
      </c>
      <c r="C36" s="45" t="s">
        <v>60</v>
      </c>
      <c r="D36" s="16">
        <f>'Costs Electricity'!E68</f>
        <v>20000</v>
      </c>
      <c r="G36" s="6"/>
    </row>
    <row r="37" spans="2:9" s="19" customFormat="1">
      <c r="B37" s="32" t="s">
        <v>168</v>
      </c>
      <c r="C37" s="45" t="s">
        <v>60</v>
      </c>
      <c r="D37" s="16">
        <f>'Costs Electricity'!E62</f>
        <v>86365.226739144782</v>
      </c>
      <c r="G37" s="70"/>
    </row>
    <row r="38" spans="2:9" s="19" customFormat="1">
      <c r="B38" s="32" t="s">
        <v>212</v>
      </c>
      <c r="C38" s="45" t="s">
        <v>60</v>
      </c>
      <c r="D38" s="38">
        <f>SUM(D35:D37)</f>
        <v>159923.2667391448</v>
      </c>
    </row>
    <row r="39" spans="2:9" s="19" customFormat="1"/>
    <row r="40" spans="2:9" s="19" customFormat="1"/>
    <row r="41" spans="2:9" s="30" customFormat="1" ht="15.75">
      <c r="B41" s="30" t="s">
        <v>226</v>
      </c>
    </row>
    <row r="42" spans="2:9" s="19" customFormat="1">
      <c r="I42" s="1"/>
    </row>
    <row r="43" spans="2:9" s="19" customFormat="1">
      <c r="B43" s="41" t="s">
        <v>214</v>
      </c>
      <c r="I43" s="1"/>
    </row>
    <row r="44" spans="2:9" s="19" customFormat="1">
      <c r="B44" s="26" t="s">
        <v>215</v>
      </c>
      <c r="C44" s="45" t="s">
        <v>60</v>
      </c>
      <c r="D44" s="136">
        <f>D24</f>
        <v>1199396.2305224803</v>
      </c>
      <c r="I44" s="1"/>
    </row>
    <row r="45" spans="2:9" s="19" customFormat="1">
      <c r="B45" s="32" t="s">
        <v>216</v>
      </c>
      <c r="C45" s="45" t="s">
        <v>60</v>
      </c>
      <c r="D45" s="136">
        <f>D38</f>
        <v>159923.2667391448</v>
      </c>
      <c r="I45" s="1"/>
    </row>
    <row r="46" spans="2:9" s="19" customFormat="1">
      <c r="B46" s="51" t="s">
        <v>217</v>
      </c>
      <c r="C46" s="45" t="s">
        <v>60</v>
      </c>
      <c r="D46" s="137">
        <f>D44-D45</f>
        <v>1039472.9637833355</v>
      </c>
      <c r="I46" s="1"/>
    </row>
    <row r="47" spans="2:9" s="19" customFormat="1">
      <c r="I47" s="1"/>
    </row>
    <row r="48" spans="2:9" s="19" customFormat="1">
      <c r="B48" s="41" t="s">
        <v>218</v>
      </c>
      <c r="E48" s="1"/>
    </row>
    <row r="49" spans="2:5" s="19" customFormat="1">
      <c r="B49" s="19" t="s">
        <v>62</v>
      </c>
      <c r="C49" s="26" t="s">
        <v>61</v>
      </c>
      <c r="D49" s="44">
        <f>D46*(1+D12)*(1+D13)</f>
        <v>1024967.1185737391</v>
      </c>
      <c r="E49" s="1"/>
    </row>
    <row r="50" spans="2:5" s="19" customFormat="1">
      <c r="E50" s="1"/>
    </row>
    <row r="55" spans="2:5">
      <c r="B55" s="46" t="s">
        <v>219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>
    <tabColor rgb="FFCCFFFF"/>
  </sheetPr>
  <dimension ref="A1:M60"/>
  <sheetViews>
    <sheetView showGridLines="0" tabSelected="1" zoomScale="85" zoomScaleNormal="85" workbookViewId="0"/>
  </sheetViews>
  <sheetFormatPr defaultRowHeight="12.75"/>
  <cols>
    <col min="1" max="1" width="4.28515625" style="56" customWidth="1"/>
    <col min="2" max="2" width="54.140625" style="56" customWidth="1"/>
    <col min="3" max="3" width="13.140625" style="56" customWidth="1"/>
    <col min="4" max="4" width="23.28515625" style="56" customWidth="1"/>
    <col min="5" max="5" width="24.42578125" style="56" customWidth="1"/>
    <col min="6" max="6" width="17.28515625" style="56" bestFit="1" customWidth="1"/>
    <col min="7" max="7" width="27.42578125" style="56" customWidth="1"/>
    <col min="8" max="8" width="9.28515625" style="56" customWidth="1"/>
    <col min="9" max="10" width="19" style="56" customWidth="1"/>
    <col min="11" max="12" width="13.28515625" style="56" customWidth="1"/>
    <col min="13" max="14" width="9.140625" style="56"/>
    <col min="15" max="15" width="3" style="56" customWidth="1"/>
    <col min="16" max="16384" width="9.140625" style="56"/>
  </cols>
  <sheetData>
    <row r="1" spans="1:13" s="62" customFormat="1" ht="35.25" customHeight="1">
      <c r="A1" s="18" t="s">
        <v>153</v>
      </c>
      <c r="I1" s="63"/>
      <c r="J1" s="63"/>
    </row>
    <row r="3" spans="1:13" ht="15">
      <c r="B3" s="65" t="s">
        <v>108</v>
      </c>
    </row>
    <row r="5" spans="1:13" s="57" customFormat="1" ht="15.75">
      <c r="B5" s="30" t="s">
        <v>8</v>
      </c>
      <c r="I5" s="64"/>
      <c r="J5" s="64"/>
    </row>
    <row r="6" spans="1:13" s="58" customFormat="1" ht="15">
      <c r="I6" s="61"/>
      <c r="J6" s="61"/>
    </row>
    <row r="7" spans="1:13" s="51" customFormat="1" ht="15">
      <c r="B7" s="26" t="s">
        <v>9</v>
      </c>
      <c r="D7" s="26" t="s">
        <v>15</v>
      </c>
      <c r="E7" s="110">
        <f>Input!D16</f>
        <v>0.26556354834606799</v>
      </c>
      <c r="G7" s="59"/>
      <c r="H7" s="26"/>
    </row>
    <row r="8" spans="1:13" s="51" customFormat="1" ht="15">
      <c r="E8" s="60"/>
      <c r="G8" s="60"/>
    </row>
    <row r="9" spans="1:13" s="51" customFormat="1" ht="15"/>
    <row r="10" spans="1:13" s="57" customFormat="1" ht="15.75">
      <c r="B10" s="30" t="s">
        <v>10</v>
      </c>
      <c r="I10" s="64"/>
      <c r="J10" s="64"/>
    </row>
    <row r="11" spans="1:13" s="58" customFormat="1" ht="15">
      <c r="I11" s="61"/>
      <c r="J11" s="61"/>
    </row>
    <row r="12" spans="1:13" s="51" customFormat="1" ht="15">
      <c r="B12" s="41" t="s">
        <v>47</v>
      </c>
      <c r="E12" s="60"/>
      <c r="I12" s="61"/>
      <c r="J12" s="61"/>
      <c r="K12" s="58"/>
      <c r="L12" s="58"/>
      <c r="M12" s="58"/>
    </row>
    <row r="13" spans="1:13" s="51" customFormat="1" ht="15">
      <c r="B13" s="51" t="s">
        <v>48</v>
      </c>
      <c r="E13" s="111">
        <f>Input!D19</f>
        <v>0.12</v>
      </c>
      <c r="I13" s="61"/>
      <c r="J13" s="61"/>
      <c r="K13" s="58"/>
      <c r="L13" s="58"/>
      <c r="M13" s="58"/>
    </row>
    <row r="14" spans="1:13" s="51" customFormat="1" ht="15">
      <c r="B14" s="51" t="s">
        <v>63</v>
      </c>
      <c r="D14" s="26" t="s">
        <v>15</v>
      </c>
      <c r="E14" s="66">
        <f>E7/(1-E13)</f>
        <v>0.30177675948416816</v>
      </c>
      <c r="I14" s="61"/>
      <c r="J14" s="61"/>
      <c r="K14" s="58"/>
      <c r="L14" s="58"/>
      <c r="M14" s="58"/>
    </row>
    <row r="15" spans="1:13" s="51" customFormat="1" ht="15">
      <c r="E15" s="60"/>
      <c r="I15" s="61"/>
      <c r="J15" s="61"/>
      <c r="K15" s="58"/>
      <c r="L15" s="58"/>
      <c r="M15" s="58"/>
    </row>
    <row r="16" spans="1:13" s="58" customFormat="1" ht="15">
      <c r="B16" s="58" t="s">
        <v>109</v>
      </c>
      <c r="E16" s="31" t="s">
        <v>13</v>
      </c>
      <c r="F16" s="51"/>
      <c r="G16" s="51"/>
      <c r="H16" s="51"/>
      <c r="I16" s="61"/>
      <c r="J16" s="61"/>
    </row>
    <row r="17" spans="2:13" s="51" customFormat="1" ht="15">
      <c r="B17" s="26" t="s">
        <v>64</v>
      </c>
      <c r="D17" s="51" t="s">
        <v>14</v>
      </c>
      <c r="E17" s="36">
        <f>'Income level Electricity'!D49</f>
        <v>1024967.1185737391</v>
      </c>
      <c r="I17" s="61"/>
      <c r="J17" s="61"/>
      <c r="K17" s="58"/>
      <c r="L17" s="58"/>
      <c r="M17" s="58"/>
    </row>
    <row r="18" spans="2:13" s="51" customFormat="1" ht="15">
      <c r="B18" s="26" t="s">
        <v>65</v>
      </c>
      <c r="D18" s="51" t="s">
        <v>40</v>
      </c>
      <c r="E18" s="38">
        <f>SUMPRODUCT(C24:C40,D24:D40)</f>
        <v>15188.56</v>
      </c>
      <c r="I18" s="61"/>
      <c r="J18" s="61"/>
      <c r="K18" s="58"/>
      <c r="L18" s="58"/>
      <c r="M18" s="58"/>
    </row>
    <row r="19" spans="2:13" s="51" customFormat="1" ht="15">
      <c r="B19" s="26" t="s">
        <v>155</v>
      </c>
      <c r="D19" s="51" t="s">
        <v>154</v>
      </c>
      <c r="E19" s="67">
        <f>E17/E18</f>
        <v>67.48283698874279</v>
      </c>
    </row>
    <row r="20" spans="2:13" s="51" customFormat="1" ht="15">
      <c r="B20" s="26" t="s">
        <v>156</v>
      </c>
      <c r="D20" s="51" t="s">
        <v>157</v>
      </c>
      <c r="E20" s="67">
        <f>E19/12</f>
        <v>5.6235697490618994</v>
      </c>
    </row>
    <row r="21" spans="2:13" s="51" customFormat="1" ht="15">
      <c r="F21" s="32"/>
    </row>
    <row r="22" spans="2:13" s="51" customFormat="1" ht="15">
      <c r="B22" s="31" t="s">
        <v>0</v>
      </c>
      <c r="C22" s="31" t="s">
        <v>40</v>
      </c>
      <c r="D22" s="31" t="s">
        <v>11</v>
      </c>
      <c r="E22" s="31" t="s">
        <v>21</v>
      </c>
      <c r="F22" s="31" t="s">
        <v>209</v>
      </c>
      <c r="G22" s="31" t="s">
        <v>106</v>
      </c>
      <c r="I22" s="41" t="s">
        <v>81</v>
      </c>
      <c r="J22" s="41" t="s">
        <v>82</v>
      </c>
    </row>
    <row r="23" spans="2:13" s="51" customFormat="1" ht="15">
      <c r="B23" s="31"/>
      <c r="C23" s="31"/>
      <c r="D23" s="31"/>
      <c r="E23" s="26" t="s">
        <v>20</v>
      </c>
      <c r="F23" s="26" t="s">
        <v>20</v>
      </c>
      <c r="G23" s="26" t="s">
        <v>20</v>
      </c>
      <c r="I23" s="51" t="s">
        <v>83</v>
      </c>
      <c r="J23" s="51" t="s">
        <v>84</v>
      </c>
    </row>
    <row r="24" spans="2:13" s="51" customFormat="1" ht="15">
      <c r="B24" s="36" t="str">
        <f>'Tariff categories'!B8</f>
        <v>Fuse 25 - V127 (3175KVA)</v>
      </c>
      <c r="C24" s="68">
        <f>'Tariff categories'!C8</f>
        <v>3.2</v>
      </c>
      <c r="D24" s="36">
        <f>'Tariff categories'!D8</f>
        <v>314</v>
      </c>
      <c r="E24" s="53">
        <f t="shared" ref="E24:E40" si="0">E$20*C24</f>
        <v>17.995423196998079</v>
      </c>
      <c r="F24" s="132">
        <f>Input!D26</f>
        <v>14.358625263909003</v>
      </c>
      <c r="G24" s="123">
        <f t="shared" ref="G24:G40" si="1">E24-F24</f>
        <v>3.6367979330890758</v>
      </c>
      <c r="I24" s="48">
        <f t="shared" ref="I24:I40" si="2">E24*D24*12</f>
        <v>67806.754606288756</v>
      </c>
      <c r="J24" s="48">
        <f t="shared" ref="J24:J40" si="3">F24*D24*12</f>
        <v>54103.299994409121</v>
      </c>
    </row>
    <row r="25" spans="2:13" s="51" customFormat="1" ht="15">
      <c r="B25" s="36" t="str">
        <f>'Tariff categories'!B9</f>
        <v>Fuse 35 - 2-phase - V220 (7700)</v>
      </c>
      <c r="C25" s="68">
        <f>'Tariff categories'!C9</f>
        <v>7.7</v>
      </c>
      <c r="D25" s="36">
        <f>'Tariff categories'!D9</f>
        <v>1289</v>
      </c>
      <c r="E25" s="53">
        <f t="shared" si="0"/>
        <v>43.301487067776627</v>
      </c>
      <c r="F25" s="132">
        <f>Input!D27</f>
        <v>21.594026275800644</v>
      </c>
      <c r="G25" s="123">
        <f>E25-F25</f>
        <v>21.707460791975983</v>
      </c>
      <c r="I25" s="48">
        <f t="shared" si="2"/>
        <v>669787.40196436888</v>
      </c>
      <c r="J25" s="48">
        <f t="shared" si="3"/>
        <v>334016.39843408437</v>
      </c>
      <c r="L25" s="117"/>
    </row>
    <row r="26" spans="2:13" s="51" customFormat="1" ht="15">
      <c r="B26" s="36" t="str">
        <f>'Tariff categories'!B10</f>
        <v>Fuse 50 - 2-phase - V220 (11000)</v>
      </c>
      <c r="C26" s="68">
        <f>'Tariff categories'!C10</f>
        <v>11</v>
      </c>
      <c r="D26" s="36">
        <f>'Tariff categories'!D10</f>
        <v>73</v>
      </c>
      <c r="E26" s="53">
        <f t="shared" si="0"/>
        <v>61.859267239680896</v>
      </c>
      <c r="F26" s="131"/>
      <c r="G26" s="123">
        <f t="shared" si="1"/>
        <v>61.859267239680896</v>
      </c>
      <c r="I26" s="48">
        <f t="shared" si="2"/>
        <v>54188.718101960469</v>
      </c>
      <c r="J26" s="48">
        <f t="shared" si="3"/>
        <v>0</v>
      </c>
      <c r="L26" s="117"/>
    </row>
    <row r="27" spans="2:13" s="51" customFormat="1" ht="15">
      <c r="B27" s="36" t="str">
        <f>'Tariff categories'!B11</f>
        <v>Fuse 63 - 2-phase - V220 (13860)</v>
      </c>
      <c r="C27" s="68">
        <f>'Tariff categories'!C11</f>
        <v>13.86</v>
      </c>
      <c r="D27" s="36">
        <f>'Tariff categories'!D11</f>
        <v>22</v>
      </c>
      <c r="E27" s="53">
        <f t="shared" si="0"/>
        <v>77.942676721997927</v>
      </c>
      <c r="F27" s="131"/>
      <c r="G27" s="123">
        <f t="shared" si="1"/>
        <v>77.942676721997927</v>
      </c>
      <c r="I27" s="48">
        <f t="shared" si="2"/>
        <v>20576.866654607453</v>
      </c>
      <c r="J27" s="48">
        <f t="shared" si="3"/>
        <v>0</v>
      </c>
      <c r="L27" s="117"/>
    </row>
    <row r="28" spans="2:13" s="51" customFormat="1" ht="15">
      <c r="B28" s="36" t="str">
        <f>'Tariff categories'!B12</f>
        <v>Fuse 35 - 3-phase - V220 (13300)</v>
      </c>
      <c r="C28" s="68">
        <f>'Tariff categories'!C12</f>
        <v>13.3</v>
      </c>
      <c r="D28" s="36">
        <f>'Tariff categories'!D12</f>
        <v>11</v>
      </c>
      <c r="E28" s="53">
        <f t="shared" si="0"/>
        <v>74.793477662523273</v>
      </c>
      <c r="F28" s="131"/>
      <c r="G28" s="123">
        <f t="shared" si="1"/>
        <v>74.793477662523273</v>
      </c>
      <c r="I28" s="48">
        <f t="shared" si="2"/>
        <v>9872.7390514530725</v>
      </c>
      <c r="J28" s="48">
        <f t="shared" si="3"/>
        <v>0</v>
      </c>
      <c r="L28" s="117"/>
    </row>
    <row r="29" spans="2:13" s="51" customFormat="1" ht="15">
      <c r="B29" s="36" t="str">
        <f>'Tariff categories'!B13</f>
        <v>Fuse 50 - 3-phase - V220 (19000</v>
      </c>
      <c r="C29" s="68">
        <f>'Tariff categories'!C13</f>
        <v>19</v>
      </c>
      <c r="D29" s="36">
        <f>'Tariff categories'!D13</f>
        <v>25</v>
      </c>
      <c r="E29" s="53">
        <f t="shared" si="0"/>
        <v>106.84782523217609</v>
      </c>
      <c r="F29" s="131"/>
      <c r="G29" s="123">
        <f t="shared" si="1"/>
        <v>106.84782523217609</v>
      </c>
      <c r="I29" s="48">
        <f t="shared" si="2"/>
        <v>32054.347569652826</v>
      </c>
      <c r="J29" s="48">
        <f t="shared" si="3"/>
        <v>0</v>
      </c>
      <c r="L29" s="117"/>
    </row>
    <row r="30" spans="2:13" s="51" customFormat="1" ht="15">
      <c r="B30" s="36" t="str">
        <f>'Tariff categories'!B14</f>
        <v>Fuse 63 - 3-phase - V220 (23940)</v>
      </c>
      <c r="C30" s="68">
        <f>'Tariff categories'!C14</f>
        <v>23.94</v>
      </c>
      <c r="D30" s="36">
        <f>'Tariff categories'!D14</f>
        <v>21</v>
      </c>
      <c r="E30" s="53">
        <f t="shared" si="0"/>
        <v>134.62825979254188</v>
      </c>
      <c r="F30" s="131"/>
      <c r="G30" s="123">
        <f t="shared" si="1"/>
        <v>134.62825979254188</v>
      </c>
      <c r="I30" s="48">
        <f t="shared" si="2"/>
        <v>33926.321467720554</v>
      </c>
      <c r="J30" s="48">
        <f t="shared" si="3"/>
        <v>0</v>
      </c>
      <c r="L30" s="117"/>
    </row>
    <row r="31" spans="2:13" s="51" customFormat="1" ht="15">
      <c r="B31" s="36" t="str">
        <f>'Tariff categories'!B15</f>
        <v>Fuse 80 - 3-phase - V220 (30400)</v>
      </c>
      <c r="C31" s="68">
        <f>'Tariff categories'!C15</f>
        <v>30.4</v>
      </c>
      <c r="D31" s="36">
        <f>'Tariff categories'!D15</f>
        <v>10</v>
      </c>
      <c r="E31" s="53">
        <f t="shared" si="0"/>
        <v>170.95652037148173</v>
      </c>
      <c r="F31" s="131"/>
      <c r="G31" s="123">
        <f t="shared" si="1"/>
        <v>170.95652037148173</v>
      </c>
      <c r="I31" s="48">
        <f t="shared" si="2"/>
        <v>20514.782444577806</v>
      </c>
      <c r="J31" s="48">
        <f t="shared" si="3"/>
        <v>0</v>
      </c>
      <c r="L31" s="117"/>
    </row>
    <row r="32" spans="2:13" s="51" customFormat="1" ht="15">
      <c r="B32" s="36" t="str">
        <f>'Tariff categories'!B16</f>
        <v>Fuse 100 - 3-phase - V220 (38000)</v>
      </c>
      <c r="C32" s="68">
        <f>'Tariff categories'!C16</f>
        <v>38</v>
      </c>
      <c r="D32" s="36">
        <f>'Tariff categories'!D16</f>
        <v>16</v>
      </c>
      <c r="E32" s="53">
        <f t="shared" si="0"/>
        <v>213.69565046435218</v>
      </c>
      <c r="F32" s="131"/>
      <c r="G32" s="123">
        <f t="shared" si="1"/>
        <v>213.69565046435218</v>
      </c>
      <c r="I32" s="48">
        <f t="shared" si="2"/>
        <v>41029.564889155619</v>
      </c>
      <c r="J32" s="48">
        <f t="shared" si="3"/>
        <v>0</v>
      </c>
      <c r="L32" s="117"/>
    </row>
    <row r="33" spans="2:12" s="51" customFormat="1" ht="15">
      <c r="B33" s="36" t="str">
        <f>'Tariff categories'!B17</f>
        <v>Fuse 125 - 3-phase - V220 (47500)</v>
      </c>
      <c r="C33" s="68">
        <f>'Tariff categories'!C17</f>
        <v>47.5</v>
      </c>
      <c r="D33" s="36">
        <f>'Tariff categories'!D17</f>
        <v>14</v>
      </c>
      <c r="E33" s="53">
        <f t="shared" si="0"/>
        <v>267.11956308044023</v>
      </c>
      <c r="F33" s="131"/>
      <c r="G33" s="123">
        <f t="shared" si="1"/>
        <v>267.11956308044023</v>
      </c>
      <c r="I33" s="48">
        <f t="shared" si="2"/>
        <v>44876.08659751396</v>
      </c>
      <c r="J33" s="48">
        <f t="shared" si="3"/>
        <v>0</v>
      </c>
      <c r="L33" s="117"/>
    </row>
    <row r="34" spans="2:12" s="51" customFormat="1" ht="15">
      <c r="B34" s="36" t="str">
        <f>'Tariff categories'!B18</f>
        <v>Fuse 160 - 3-phase - V220 (60800)</v>
      </c>
      <c r="C34" s="68">
        <v>68</v>
      </c>
      <c r="D34" s="36">
        <f>'Tariff categories'!D18</f>
        <v>2</v>
      </c>
      <c r="E34" s="53">
        <f t="shared" si="0"/>
        <v>382.40274293620917</v>
      </c>
      <c r="F34" s="131"/>
      <c r="G34" s="123">
        <f t="shared" si="1"/>
        <v>382.40274293620917</v>
      </c>
      <c r="I34" s="48">
        <f t="shared" si="2"/>
        <v>9177.6658304690209</v>
      </c>
      <c r="J34" s="48">
        <f t="shared" si="3"/>
        <v>0</v>
      </c>
      <c r="L34" s="117"/>
    </row>
    <row r="35" spans="2:12" s="51" customFormat="1" ht="15">
      <c r="B35" s="36" t="str">
        <f>'Tariff categories'!B19</f>
        <v>Fuse 200 - 3-phase - V220 (76000)</v>
      </c>
      <c r="C35" s="68">
        <f>'Tariff categories'!C19</f>
        <v>76</v>
      </c>
      <c r="D35" s="36">
        <f>'Tariff categories'!D19</f>
        <v>3</v>
      </c>
      <c r="E35" s="53">
        <f t="shared" si="0"/>
        <v>427.39130092870437</v>
      </c>
      <c r="F35" s="131"/>
      <c r="G35" s="123">
        <f t="shared" si="1"/>
        <v>427.39130092870437</v>
      </c>
      <c r="I35" s="48">
        <f t="shared" si="2"/>
        <v>15386.086833433357</v>
      </c>
      <c r="J35" s="48">
        <f t="shared" si="3"/>
        <v>0</v>
      </c>
      <c r="L35" s="117"/>
    </row>
    <row r="36" spans="2:12" s="51" customFormat="1" ht="15">
      <c r="B36" s="36" t="str">
        <f>'Tariff categories'!B20</f>
        <v>Fuse 225 - 3-phase - V220 (85500)</v>
      </c>
      <c r="C36" s="68">
        <f>'Tariff categories'!C20</f>
        <v>85.5</v>
      </c>
      <c r="D36" s="36">
        <f>'Tariff categories'!D20</f>
        <v>1</v>
      </c>
      <c r="E36" s="53">
        <f t="shared" si="0"/>
        <v>480.81521354479241</v>
      </c>
      <c r="F36" s="131"/>
      <c r="G36" s="123">
        <f t="shared" si="1"/>
        <v>480.81521354479241</v>
      </c>
      <c r="I36" s="48">
        <f t="shared" si="2"/>
        <v>5769.782562537509</v>
      </c>
      <c r="J36" s="48">
        <f t="shared" si="3"/>
        <v>0</v>
      </c>
      <c r="L36" s="117"/>
    </row>
    <row r="37" spans="2:12" s="51" customFormat="1" ht="15">
      <c r="B37" s="36" t="str">
        <f>'Tariff categories'!B21</f>
        <v>Fuse 250 - 3-phase - V220 (95000)</v>
      </c>
      <c r="C37" s="68">
        <f>'Tariff categories'!C21</f>
        <v>95</v>
      </c>
      <c r="D37" s="36">
        <f>'Tariff categories'!D21</f>
        <v>0</v>
      </c>
      <c r="E37" s="53">
        <f t="shared" si="0"/>
        <v>534.23912616088046</v>
      </c>
      <c r="F37" s="131"/>
      <c r="G37" s="123">
        <f t="shared" si="1"/>
        <v>534.23912616088046</v>
      </c>
      <c r="I37" s="48">
        <f t="shared" si="2"/>
        <v>0</v>
      </c>
      <c r="J37" s="48">
        <f t="shared" si="3"/>
        <v>0</v>
      </c>
      <c r="L37" s="117"/>
    </row>
    <row r="38" spans="2:12" s="51" customFormat="1" ht="15">
      <c r="B38" s="36" t="str">
        <f>'Tariff categories'!B22</f>
        <v>Fuse 315 - 3-phase - V220 (119700)</v>
      </c>
      <c r="C38" s="68">
        <f>'Tariff categories'!C22</f>
        <v>119.7</v>
      </c>
      <c r="D38" s="36">
        <f>'Tariff categories'!D22</f>
        <v>0</v>
      </c>
      <c r="E38" s="53">
        <f t="shared" si="0"/>
        <v>673.14129896270936</v>
      </c>
      <c r="F38" s="131"/>
      <c r="G38" s="123">
        <f t="shared" si="1"/>
        <v>673.14129896270936</v>
      </c>
      <c r="I38" s="48">
        <f t="shared" si="2"/>
        <v>0</v>
      </c>
      <c r="J38" s="48">
        <f t="shared" si="3"/>
        <v>0</v>
      </c>
    </row>
    <row r="39" spans="2:12" s="51" customFormat="1" ht="15">
      <c r="B39" s="36" t="str">
        <f>'Tariff categories'!B23</f>
        <v>Fuse 350 - 3-phase - V220 (133000)</v>
      </c>
      <c r="C39" s="68">
        <f>'Tariff categories'!C23</f>
        <v>133</v>
      </c>
      <c r="D39" s="36">
        <f>'Tariff categories'!D23</f>
        <v>0</v>
      </c>
      <c r="E39" s="53">
        <f t="shared" si="0"/>
        <v>747.93477662523264</v>
      </c>
      <c r="F39" s="131"/>
      <c r="G39" s="123">
        <f t="shared" si="1"/>
        <v>747.93477662523264</v>
      </c>
      <c r="I39" s="48">
        <f t="shared" si="2"/>
        <v>0</v>
      </c>
      <c r="J39" s="48">
        <f t="shared" si="3"/>
        <v>0</v>
      </c>
    </row>
    <row r="40" spans="2:12" s="51" customFormat="1" ht="15">
      <c r="B40" s="36" t="str">
        <f>'Tariff categories'!B24</f>
        <v>Fuse 400 - 3-phase - V220 (152000)</v>
      </c>
      <c r="C40" s="68">
        <f>'Tariff categories'!C24</f>
        <v>152</v>
      </c>
      <c r="D40" s="36">
        <f>'Tariff categories'!D24</f>
        <v>0</v>
      </c>
      <c r="E40" s="53">
        <f t="shared" si="0"/>
        <v>854.78260185740874</v>
      </c>
      <c r="F40" s="131"/>
      <c r="G40" s="123">
        <f t="shared" si="1"/>
        <v>854.78260185740874</v>
      </c>
      <c r="I40" s="48">
        <f t="shared" si="2"/>
        <v>0</v>
      </c>
      <c r="J40" s="48">
        <f t="shared" si="3"/>
        <v>0</v>
      </c>
    </row>
    <row r="41" spans="2:12" s="51" customFormat="1" ht="15">
      <c r="B41" s="31" t="s">
        <v>2</v>
      </c>
      <c r="C41" s="31"/>
      <c r="D41" s="50">
        <f>SUM(D24:D40)</f>
        <v>1801</v>
      </c>
      <c r="E41" s="27"/>
      <c r="F41" s="27"/>
      <c r="G41" s="32"/>
      <c r="I41" s="109">
        <f>SUM(I24:I40)</f>
        <v>1024967.1185737393</v>
      </c>
      <c r="J41" s="109">
        <f>SUM(J24:J40)</f>
        <v>388119.69842849352</v>
      </c>
      <c r="L41" s="129"/>
    </row>
    <row r="42" spans="2:12" s="51" customFormat="1" ht="15"/>
    <row r="43" spans="2:12" ht="15">
      <c r="B43" s="31" t="s">
        <v>186</v>
      </c>
      <c r="C43" s="124"/>
      <c r="D43" s="124"/>
      <c r="E43" s="51"/>
      <c r="F43" s="124"/>
      <c r="G43" s="124" t="str">
        <f>IF(ABS((SUM(E24:E40)-SUM(F24:F40))/SUM(G24:G40))&gt;1.001,"FOUT", "OK")</f>
        <v>OK</v>
      </c>
      <c r="H43" s="124"/>
      <c r="I43" s="124" t="str">
        <f>IF(ABS(I41/E17)&gt;1.001,"FOUT", "OK")</f>
        <v>OK</v>
      </c>
      <c r="J43" s="124" t="str">
        <f>IF(ABS(J41/Input!D28)&gt;1.001,"SUBSIDIEBEDRAG WIJKT AF VAN BESCHIKBAAR", "OK")</f>
        <v>OK</v>
      </c>
      <c r="K43" s="51"/>
      <c r="L43" s="121"/>
    </row>
    <row r="44" spans="2:12" ht="15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</row>
    <row r="45" spans="2:12" s="51" customFormat="1" ht="15"/>
    <row r="46" spans="2:12" s="57" customFormat="1" ht="15.75">
      <c r="B46" s="30" t="s">
        <v>50</v>
      </c>
      <c r="I46" s="64"/>
      <c r="J46" s="64"/>
    </row>
    <row r="47" spans="2:12" s="58" customFormat="1" ht="15">
      <c r="I47" s="61"/>
      <c r="J47" s="61"/>
    </row>
    <row r="48" spans="2:12" s="51" customFormat="1" ht="15">
      <c r="B48" s="61" t="s">
        <v>107</v>
      </c>
      <c r="D48" s="51" t="s">
        <v>192</v>
      </c>
      <c r="E48" s="69">
        <v>40</v>
      </c>
      <c r="G48" s="61" t="s">
        <v>185</v>
      </c>
    </row>
    <row r="49" spans="2:7" s="51" customFormat="1" ht="15"/>
    <row r="50" spans="2:7" s="51" customFormat="1" ht="15">
      <c r="B50" s="31" t="s">
        <v>49</v>
      </c>
      <c r="D50" s="31"/>
    </row>
    <row r="51" spans="2:7" s="51" customFormat="1" ht="15">
      <c r="B51" s="26" t="s">
        <v>211</v>
      </c>
      <c r="D51" s="51" t="s">
        <v>192</v>
      </c>
      <c r="E51" s="69">
        <v>282</v>
      </c>
      <c r="G51" s="43" t="s">
        <v>220</v>
      </c>
    </row>
    <row r="52" spans="2:7" ht="15">
      <c r="B52" s="51" t="s">
        <v>221</v>
      </c>
      <c r="D52" s="51" t="s">
        <v>192</v>
      </c>
      <c r="E52" s="69">
        <v>175</v>
      </c>
      <c r="G52" s="43" t="s">
        <v>220</v>
      </c>
    </row>
    <row r="53" spans="2:7" ht="15">
      <c r="B53" s="51" t="s">
        <v>222</v>
      </c>
      <c r="D53" s="51" t="s">
        <v>192</v>
      </c>
      <c r="E53" s="69">
        <v>190</v>
      </c>
      <c r="G53" s="43" t="s">
        <v>220</v>
      </c>
    </row>
    <row r="60" spans="2:7">
      <c r="B60" s="93" t="s">
        <v>219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document xmlns="4e7e7126-2040-4c98-98e5-fda1fcd9258c">
      <Value>Regulering</Value>
    </Type_x0020_document>
    <Status xmlns="4e7e7126-2040-4c98-98e5-fda1fcd9258c">Actueel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88D7640ACCFC42A267A6095A89BF7F" ma:contentTypeVersion="2" ma:contentTypeDescription="Een nieuw document maken." ma:contentTypeScope="" ma:versionID="496d12a529ebcca8d49c7778b31b6a91">
  <xsd:schema xmlns:xsd="http://www.w3.org/2001/XMLSchema" xmlns:xs="http://www.w3.org/2001/XMLSchema" xmlns:p="http://schemas.microsoft.com/office/2006/metadata/properties" xmlns:ns2="4e7e7126-2040-4c98-98e5-fda1fcd9258c" targetNamespace="http://schemas.microsoft.com/office/2006/metadata/properties" ma:root="true" ma:fieldsID="680c8a1675dd199a02146539639cc0a2" ns2:_="">
    <xsd:import namespace="4e7e7126-2040-4c98-98e5-fda1fcd9258c"/>
    <xsd:element name="properties">
      <xsd:complexType>
        <xsd:sequence>
          <xsd:element name="documentManagement">
            <xsd:complexType>
              <xsd:all>
                <xsd:element ref="ns2:Type_x0020_document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e7126-2040-4c98-98e5-fda1fcd9258c" elementFormDefault="qualified">
    <xsd:import namespace="http://schemas.microsoft.com/office/2006/documentManagement/types"/>
    <xsd:import namespace="http://schemas.microsoft.com/office/infopath/2007/PartnerControls"/>
    <xsd:element name="Type_x0020_document" ma:index="8" nillable="true" ma:displayName="Type document" ma:default="Projectdocumenten" ma:internalName="Type_x0020_docume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jectdocumenten"/>
                    <xsd:enumeration value="CN-team Den Haag"/>
                    <xsd:enumeration value="Juridisch"/>
                    <xsd:enumeration value="Regulering"/>
                    <xsd:enumeration value="Communicatie"/>
                    <xsd:enumeration value="EZ"/>
                    <xsd:enumeration value="Financiën"/>
                    <xsd:enumeration value="Bedrijfsvoering"/>
                    <xsd:enumeration value="Caribisch Nederland"/>
                    <xsd:enumeration value="Verslagen"/>
                  </xsd:restriction>
                </xsd:simpleType>
              </xsd:element>
            </xsd:sequence>
          </xsd:extension>
        </xsd:complexContent>
      </xsd:complexType>
    </xsd:element>
    <xsd:element name="Status" ma:index="9" nillable="true" ma:displayName="Status" ma:default="Actueel" ma:format="RadioButtons" ma:indexed="true" ma:internalName="Status">
      <xsd:simpleType>
        <xsd:restriction base="dms:Choice">
          <xsd:enumeration value="Actueel"/>
          <xsd:enumeration value="Archief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F083A1-00A8-45E9-BA0D-83E9FE715C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C75FD9-600A-4DBE-B434-868B48367807}">
  <ds:schemaRefs>
    <ds:schemaRef ds:uri="http://www.w3.org/XML/1998/namespace"/>
    <ds:schemaRef ds:uri="4e7e7126-2040-4c98-98e5-fda1fcd9258c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622C77-66A3-4784-954D-D10CC50167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7e7126-2040-4c98-98e5-fda1fcd92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Explanation</vt:lpstr>
      <vt:lpstr>Input</vt:lpstr>
      <vt:lpstr>Tariff categories</vt:lpstr>
      <vt:lpstr>Costs Electricity</vt:lpstr>
      <vt:lpstr>CPI CN</vt:lpstr>
      <vt:lpstr>Income level Electricity</vt:lpstr>
      <vt:lpstr>Calculation Electricity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Rekenmodel distributietarieven elektriciteit STUCO 2017</dc:title>
  <dc:subject>energie, caribisch nederland</dc:subject>
  <dc:creator>Autoriteit Consument &amp; Markt (ACM)</dc:creator>
  <cp:keywords>distributietarieven; Sint Eustatius</cp:keywords>
  <cp:lastModifiedBy>Buys-Trimp, Marga</cp:lastModifiedBy>
  <cp:lastPrinted>2016-07-29T19:08:11Z</cp:lastPrinted>
  <dcterms:created xsi:type="dcterms:W3CDTF">2016-07-29T17:04:11Z</dcterms:created>
  <dcterms:modified xsi:type="dcterms:W3CDTF">2017-05-08T14:20:55Z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0x0101001E88D7640ACCFC42A267A6095A89BF7F</vt:lpwstr>
  </property>
</Properties>
</file>