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565" windowWidth="20370" windowHeight="5685" activeTab="6"/>
  </bookViews>
  <sheets>
    <sheet name="Explanation" sheetId="14" r:id="rId1"/>
    <sheet name="Input" sheetId="5" r:id="rId2"/>
    <sheet name="Tariff categories" sheetId="1" r:id="rId3"/>
    <sheet name="Costs" sheetId="2" r:id="rId4"/>
    <sheet name="CPI CN" sheetId="15" r:id="rId5"/>
    <sheet name="Income level" sheetId="10" r:id="rId6"/>
    <sheet name="Calculation tariffs 2017" sheetId="3" r:id="rId7"/>
  </sheets>
  <definedNames>
    <definedName name="List_keys_overhead">Costs!#REF!</definedName>
  </definedNames>
  <calcPr calcId="145621"/>
</workbook>
</file>

<file path=xl/calcChain.xml><?xml version="1.0" encoding="utf-8"?>
<calcChain xmlns="http://schemas.openxmlformats.org/spreadsheetml/2006/main">
  <c r="D48" i="10" l="1"/>
  <c r="E57" i="2"/>
  <c r="D21" i="3" l="1"/>
  <c r="E27" i="3"/>
  <c r="E26" i="3"/>
  <c r="E16" i="5" l="1"/>
  <c r="E14" i="5"/>
  <c r="D36" i="10" l="1"/>
  <c r="E58" i="2"/>
  <c r="E59" i="2" s="1"/>
  <c r="C27" i="3" l="1"/>
  <c r="C28" i="3"/>
  <c r="C29" i="3"/>
  <c r="C30" i="3"/>
  <c r="C31" i="3"/>
  <c r="C32" i="3"/>
  <c r="C33" i="3"/>
  <c r="C34" i="3"/>
  <c r="C35" i="3"/>
  <c r="C36" i="3"/>
  <c r="C37" i="3"/>
  <c r="C38" i="3"/>
  <c r="C39" i="3"/>
  <c r="E49" i="2" l="1"/>
  <c r="D11" i="10" l="1"/>
  <c r="D19" i="10" l="1"/>
  <c r="D18" i="10"/>
  <c r="F8" i="2"/>
  <c r="E38" i="2" l="1"/>
  <c r="D34" i="10" s="1"/>
  <c r="E27" i="2"/>
  <c r="D22" i="10" s="1"/>
  <c r="E6" i="5" l="1"/>
  <c r="E5" i="5"/>
  <c r="F27" i="15"/>
  <c r="F32" i="15" s="1"/>
  <c r="E27" i="15"/>
  <c r="E32" i="15" s="1"/>
  <c r="D27" i="15"/>
  <c r="D32" i="15" s="1"/>
  <c r="F26" i="15"/>
  <c r="F31" i="15" s="1"/>
  <c r="E26" i="15"/>
  <c r="E31" i="15" s="1"/>
  <c r="D26" i="15"/>
  <c r="D31" i="15" s="1"/>
  <c r="D8" i="3" l="1"/>
  <c r="D7" i="3"/>
  <c r="D14" i="3" l="1"/>
  <c r="D15" i="3" s="1"/>
  <c r="D13" i="10"/>
  <c r="D12" i="10"/>
  <c r="B26" i="3" l="1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D20" i="10" l="1"/>
  <c r="D21" i="10" s="1"/>
  <c r="D23" i="10" l="1"/>
  <c r="D43" i="10" s="1"/>
  <c r="C23" i="1" l="1"/>
  <c r="C26" i="3"/>
  <c r="C21" i="1"/>
  <c r="C40" i="3" l="1"/>
  <c r="C42" i="3" s="1"/>
  <c r="D19" i="3"/>
  <c r="D22" i="3" s="1"/>
  <c r="I38" i="3" l="1"/>
  <c r="I33" i="3" l="1"/>
  <c r="I39" i="3"/>
  <c r="I35" i="3"/>
  <c r="I37" i="3"/>
  <c r="I34" i="3"/>
  <c r="I32" i="3"/>
  <c r="I36" i="3"/>
  <c r="I27" i="3" l="1"/>
  <c r="I26" i="3"/>
  <c r="I29" i="3" l="1"/>
  <c r="I30" i="3"/>
  <c r="I31" i="3" l="1"/>
  <c r="I28" i="3" l="1"/>
  <c r="I40" i="3" s="1"/>
  <c r="I42" i="3" s="1"/>
  <c r="E50" i="2" l="1"/>
  <c r="E51" i="2" s="1"/>
  <c r="D35" i="10" s="1"/>
  <c r="D37" i="10" s="1"/>
  <c r="D18" i="3" l="1"/>
  <c r="D44" i="10"/>
  <c r="D45" i="10" s="1"/>
  <c r="D20" i="3" l="1"/>
  <c r="D37" i="3" s="1"/>
  <c r="D33" i="3"/>
  <c r="D29" i="3"/>
  <c r="D32" i="3"/>
  <c r="D36" i="3"/>
  <c r="D31" i="3"/>
  <c r="D28" i="3"/>
  <c r="D39" i="3"/>
  <c r="D35" i="3" l="1"/>
  <c r="H35" i="3" s="1"/>
  <c r="D27" i="3"/>
  <c r="D26" i="3"/>
  <c r="D34" i="3"/>
  <c r="F34" i="3" s="1"/>
  <c r="D30" i="3"/>
  <c r="D38" i="3"/>
  <c r="H38" i="3" s="1"/>
  <c r="F35" i="3"/>
  <c r="F26" i="3"/>
  <c r="H30" i="3"/>
  <c r="F30" i="3"/>
  <c r="H39" i="3"/>
  <c r="F39" i="3"/>
  <c r="F28" i="3"/>
  <c r="H28" i="3"/>
  <c r="H31" i="3"/>
  <c r="F31" i="3"/>
  <c r="F36" i="3"/>
  <c r="H36" i="3"/>
  <c r="H32" i="3"/>
  <c r="F32" i="3"/>
  <c r="F29" i="3"/>
  <c r="H29" i="3"/>
  <c r="H33" i="3"/>
  <c r="F33" i="3"/>
  <c r="H27" i="3"/>
  <c r="F27" i="3"/>
  <c r="H34" i="3"/>
  <c r="F38" i="3"/>
  <c r="F37" i="3"/>
  <c r="H37" i="3"/>
  <c r="H26" i="3" l="1"/>
  <c r="F42" i="3"/>
  <c r="H40" i="3"/>
  <c r="H42" i="3" s="1"/>
</calcChain>
</file>

<file path=xl/comments1.xml><?xml version="1.0" encoding="utf-8"?>
<comments xmlns="http://schemas.openxmlformats.org/spreadsheetml/2006/main">
  <authors>
    <author>Adriaansen, Paul</author>
  </authors>
  <commentList>
    <comment ref="E19" authorId="0">
      <text>
        <r>
          <rPr>
            <sz val="8"/>
            <color indexed="81"/>
            <rFont val="Tahoma"/>
            <family val="2"/>
          </rPr>
          <t>This level has slightly changed compared to the production price calculation (120,31)</t>
        </r>
      </text>
    </comment>
    <comment ref="F19" authorId="0">
      <text>
        <r>
          <rPr>
            <sz val="8"/>
            <color indexed="81"/>
            <rFont val="Tahoma"/>
            <family val="2"/>
          </rPr>
          <t>This level has slightly changed compared to the production price calculation (114,51)</t>
        </r>
      </text>
    </comment>
  </commentList>
</comments>
</file>

<file path=xl/sharedStrings.xml><?xml version="1.0" encoding="utf-8"?>
<sst xmlns="http://schemas.openxmlformats.org/spreadsheetml/2006/main" count="310" uniqueCount="216">
  <si>
    <t>TOTAL</t>
  </si>
  <si>
    <t>Distribution</t>
  </si>
  <si>
    <t>%</t>
  </si>
  <si>
    <t>Total capital costs</t>
  </si>
  <si>
    <t>Total costs</t>
  </si>
  <si>
    <t>Type</t>
  </si>
  <si>
    <t>Production price</t>
  </si>
  <si>
    <t>Distribution tariffs</t>
  </si>
  <si>
    <t>Depreciation</t>
  </si>
  <si>
    <t>Capital costs</t>
  </si>
  <si>
    <t>Subsidy</t>
  </si>
  <si>
    <t>Amount</t>
  </si>
  <si>
    <t>kWh</t>
  </si>
  <si>
    <t>USD/kWh</t>
  </si>
  <si>
    <t>Reconnection tariff</t>
  </si>
  <si>
    <t>In this sheet all input variables can be set</t>
  </si>
  <si>
    <t>In this sheet the tariff categories can be filled out</t>
  </si>
  <si>
    <t>Electricity</t>
  </si>
  <si>
    <t>CHECK</t>
  </si>
  <si>
    <t>Production volume</t>
  </si>
  <si>
    <t>(USD - monthly)</t>
  </si>
  <si>
    <t>Capacity tariff incl subs</t>
  </si>
  <si>
    <t>Operational costs (excl fuel oil)</t>
  </si>
  <si>
    <t>(KVA)</t>
  </si>
  <si>
    <t>Tariff category</t>
  </si>
  <si>
    <t>Net losses</t>
  </si>
  <si>
    <t>WACC 2017</t>
  </si>
  <si>
    <t>Variable distribution tariff</t>
  </si>
  <si>
    <t>These OPEX numbers follow from a separate calculation to allocate OPEX to Production and Distribution activities</t>
  </si>
  <si>
    <t>Note</t>
  </si>
  <si>
    <t>In this sheet the costs are used to estimate income levels per activity</t>
  </si>
  <si>
    <t>WACC &amp; inflation</t>
  </si>
  <si>
    <t>WACC2017</t>
  </si>
  <si>
    <t>Inflation 2016</t>
  </si>
  <si>
    <t>Inflation 2017</t>
  </si>
  <si>
    <t>Costs levels 2015 for determination of income levels 2017</t>
  </si>
  <si>
    <t>Total asset value (nominal)</t>
  </si>
  <si>
    <t>Total depreciation (nominal)</t>
  </si>
  <si>
    <t>Reasonable return (nominal)</t>
  </si>
  <si>
    <t>USD (price level 2015)</t>
  </si>
  <si>
    <t>USD (price level 2017)</t>
  </si>
  <si>
    <t>Income level 2017</t>
  </si>
  <si>
    <t>2015 data, see separate analysis on OPEX and Cost calculation</t>
  </si>
  <si>
    <t>Estimated inflation 2016</t>
  </si>
  <si>
    <t>Estimated inflation 2017</t>
  </si>
  <si>
    <t>WACC for 2017 for 'Electricity, production and distribution', based on WACC desicion</t>
  </si>
  <si>
    <t>Electricity loss on grid (%)</t>
  </si>
  <si>
    <t>Income level for distribution</t>
  </si>
  <si>
    <t>KVA</t>
  </si>
  <si>
    <t>Income level per KVA</t>
  </si>
  <si>
    <t>USD/KVA</t>
  </si>
  <si>
    <t>Yearly subsidy</t>
  </si>
  <si>
    <t>Subsidy per KVA</t>
  </si>
  <si>
    <t>Net costs 2015</t>
  </si>
  <si>
    <t>Operational costs (netted)</t>
  </si>
  <si>
    <t>Total capacity network users (in KVA)</t>
  </si>
  <si>
    <t>#</t>
  </si>
  <si>
    <t>USD/KVA/yr</t>
  </si>
  <si>
    <t xml:space="preserve">Total income </t>
  </si>
  <si>
    <t>Total subsidy</t>
  </si>
  <si>
    <t xml:space="preserve"> (USD/yr)</t>
  </si>
  <si>
    <t>(USD/yr)</t>
  </si>
  <si>
    <t>First the cost levels of 2015 are taken from the earlier calculation, these are costs in the price level of 2015</t>
  </si>
  <si>
    <t>Then we estimate extra costs for new activities (if any) or developments we expect since 2015 that need to be reflected in the income level for 2017.</t>
  </si>
  <si>
    <t>Also the expected income from other activities (not regulated by ACM) are taken into account, these are substracted from the expected cost levels.</t>
  </si>
  <si>
    <t>Finally we calculate the estimated income levels by applying the inflation percentage to the costs levels.</t>
  </si>
  <si>
    <t>Other income from non-regulated activities and (re)connection fees</t>
  </si>
  <si>
    <t>Overhead</t>
  </si>
  <si>
    <t>Direct costs OPEX (excl. fuel)</t>
  </si>
  <si>
    <t>Asset value (end of year 2015)</t>
  </si>
  <si>
    <t>Operational Costs</t>
  </si>
  <si>
    <t>Total OPEX excl. Fuel</t>
  </si>
  <si>
    <t>Operational Costs allocated</t>
  </si>
  <si>
    <t>Capital costs (RAV and depreciation) allocated</t>
  </si>
  <si>
    <t>Estimated costs per (re)connection</t>
  </si>
  <si>
    <t>Separate calculation of costs and income levels for (re)connection</t>
  </si>
  <si>
    <t>Other income (to be netted with total costs)</t>
  </si>
  <si>
    <t>Other income (to be netted)</t>
  </si>
  <si>
    <t>Other income (to be netted) allocated to direct activities</t>
  </si>
  <si>
    <t xml:space="preserve">Source: separate analysis on Opex and other income </t>
  </si>
  <si>
    <t>Tariffs for new connections and reconnection</t>
  </si>
  <si>
    <t>USD, price level 2015</t>
  </si>
  <si>
    <t>FIN</t>
  </si>
  <si>
    <t>Additional costs for new activities</t>
  </si>
  <si>
    <t>Production price model SEC</t>
  </si>
  <si>
    <t>Production price SEC</t>
  </si>
  <si>
    <t>Production volume SEC</t>
  </si>
  <si>
    <t>Input parameters</t>
  </si>
  <si>
    <t>Notes</t>
  </si>
  <si>
    <t>The distribution price descion is the result of the method descision of September 30, 2016 with reference ACM/DE/2016/205454</t>
  </si>
  <si>
    <t>Explanation per worksheet:</t>
  </si>
  <si>
    <r>
      <t xml:space="preserve">Input </t>
    </r>
    <r>
      <rPr>
        <sz val="11"/>
        <rFont val="Calibri"/>
        <family val="2"/>
        <scheme val="minor"/>
      </rPr>
      <t>contains data on the WACC, inflation, production and fuel</t>
    </r>
  </si>
  <si>
    <r>
      <rPr>
        <b/>
        <sz val="11"/>
        <rFont val="Calibri"/>
        <family val="2"/>
        <scheme val="minor"/>
      </rPr>
      <t>CPI CN</t>
    </r>
    <r>
      <rPr>
        <sz val="11"/>
        <rFont val="Calibri"/>
        <family val="2"/>
        <scheme val="minor"/>
      </rPr>
      <t xml:space="preserve"> calculates the consumer price index</t>
    </r>
  </si>
  <si>
    <t>Cell colours</t>
  </si>
  <si>
    <t>Data and input</t>
  </si>
  <si>
    <t>Calculated value</t>
  </si>
  <si>
    <t>Value from another cell, without calculation</t>
  </si>
  <si>
    <t>Result</t>
  </si>
  <si>
    <t>Attention needed</t>
  </si>
  <si>
    <t>Notes to the calculation of the distribution price 2017 for SEC</t>
  </si>
  <si>
    <r>
      <t xml:space="preserve">Tariff Categories </t>
    </r>
    <r>
      <rPr>
        <sz val="11"/>
        <rFont val="Calibri"/>
        <family val="2"/>
        <scheme val="minor"/>
      </rPr>
      <t>contains the number of customers and weights of tariff categories as used by SEC</t>
    </r>
  </si>
  <si>
    <r>
      <rPr>
        <b/>
        <sz val="11"/>
        <rFont val="Calibri"/>
        <family val="2"/>
        <scheme val="minor"/>
      </rPr>
      <t xml:space="preserve">Costs </t>
    </r>
    <r>
      <rPr>
        <sz val="11"/>
        <rFont val="Calibri"/>
        <family val="2"/>
        <scheme val="minor"/>
      </rPr>
      <t>contains data  on operational costs, capital costs and total cost for the electricity network</t>
    </r>
  </si>
  <si>
    <r>
      <t xml:space="preserve">Income level  </t>
    </r>
    <r>
      <rPr>
        <sz val="11"/>
        <rFont val="Calibri"/>
        <family val="2"/>
        <scheme val="minor"/>
      </rPr>
      <t>calculates total costs at the 2017 pricelevel, while incorperating the extra costs en income</t>
    </r>
  </si>
  <si>
    <r>
      <rPr>
        <b/>
        <sz val="11"/>
        <rFont val="Calibri"/>
        <family val="2"/>
        <scheme val="minor"/>
      </rPr>
      <t>Calculation tariffs 2017</t>
    </r>
    <r>
      <rPr>
        <sz val="11"/>
        <rFont val="Calibri"/>
        <family val="2"/>
        <scheme val="minor"/>
      </rPr>
      <t xml:space="preserve"> calculates total cost at the 2017 pricelevel and calculates the distribution price</t>
    </r>
  </si>
  <si>
    <t>Calculation Consumer Price Index - Caribisch Nederland</t>
  </si>
  <si>
    <t>For the calculation of electricity and water tariffs consumer price index (CPI) figures are used to compensate for price fluctuations.</t>
  </si>
  <si>
    <t>These figures are calculated by Centraal Bureau voor de Statistiek, separately for Bonaire, St. Eustatius and Saba.</t>
  </si>
  <si>
    <t>In our method we estimate the inflation for year T (the year for which we set tariffs), by looking at the most recent number on inflation between year T-1 and year T-2.</t>
  </si>
  <si>
    <t>CBS calculates the CPI quarterly, which means we can use the CPI figures of the 'derde kwartaal' (Q3) of each year.</t>
  </si>
  <si>
    <t>This closely resembles the method used in the Netherlands, where we use the CPI figures of August of each year.</t>
  </si>
  <si>
    <t>Last update: January 19th, 2017 (final figures)</t>
  </si>
  <si>
    <t>CPI Data</t>
  </si>
  <si>
    <t xml:space="preserve">Consumer Price Index levels </t>
  </si>
  <si>
    <t>(2010 = 100%)</t>
  </si>
  <si>
    <t>Bonaire</t>
  </si>
  <si>
    <t>St. Eustatius</t>
  </si>
  <si>
    <t>Saba</t>
  </si>
  <si>
    <t>2014 3e kwartaal</t>
  </si>
  <si>
    <t>CPI</t>
  </si>
  <si>
    <t>2015 3e kwartaal</t>
  </si>
  <si>
    <t>2016 3e kwartaal</t>
  </si>
  <si>
    <t xml:space="preserve">source CBS: </t>
  </si>
  <si>
    <t>http://statline.cbs.nl/Statweb/publication/?DM=SLNL&amp;PA=81122NED&amp;D1=0-2&amp;D2=0&amp;D3=a&amp;D4=a&amp;VW=T</t>
  </si>
  <si>
    <t>Estimated inflation</t>
  </si>
  <si>
    <t>Calculated year-on-year inflation 2015 Q3</t>
  </si>
  <si>
    <t>Calculated year-on-year inflation 2016 Q3</t>
  </si>
  <si>
    <t>Estimated inflation levels used in tariff calculations (rounded at 1 decimal)</t>
  </si>
  <si>
    <t>Allocating overhead costs to activities</t>
  </si>
  <si>
    <t>The costs (OPEX) and other income related to Overhead need to be allocated to direct activities. We use the relative share of direct costs as a key for indirect costs.</t>
  </si>
  <si>
    <t>Allocation key</t>
  </si>
  <si>
    <t>Allocation other activities</t>
  </si>
  <si>
    <t>These numbers on other income follow from a separate calculation.</t>
  </si>
  <si>
    <t>Electricity distribution</t>
  </si>
  <si>
    <t>Allocation distribution</t>
  </si>
  <si>
    <t>Direct costs (OPEX) are key for indirect OPEX. Percentages based on separate OPEX-calculation.</t>
  </si>
  <si>
    <t>Direct distribution</t>
  </si>
  <si>
    <t>There are no costs for extra activities</t>
  </si>
  <si>
    <t>Data on reconnections in 2015</t>
  </si>
  <si>
    <t>Number of (re)connections 2015</t>
  </si>
  <si>
    <t>Total costs associated with reconnections in 2015 (to be subtracted)</t>
  </si>
  <si>
    <t>Data on new connections in 2015</t>
  </si>
  <si>
    <t>Number of new connections 2015</t>
  </si>
  <si>
    <t>Estimated costs per new connection</t>
  </si>
  <si>
    <t>Source: separate analysis on Opex and other income. Note: this does not include income from new connections or reconnections</t>
  </si>
  <si>
    <t>These costs levels are calculated because we need to substract them from the total costs, before calculating total income.</t>
  </si>
  <si>
    <t>The reason for this, is that reconnection and connection fees already cover a part of the total costs in 2015, so these should not be accounted for when calculating distribution tariffs.</t>
  </si>
  <si>
    <t xml:space="preserve">This file contains the computational model used by the Authority for Consumers and Markets to calculate the distribution tariffs for electricity for SEC for the year 2017. </t>
  </si>
  <si>
    <t>Note / source</t>
  </si>
  <si>
    <t>Number of connections</t>
  </si>
  <si>
    <t>Old tariff category</t>
  </si>
  <si>
    <t>(household / profit)</t>
  </si>
  <si>
    <t>n.a. / T22</t>
  </si>
  <si>
    <t>T11 / T21</t>
  </si>
  <si>
    <t>T12 / T22</t>
  </si>
  <si>
    <t>(total over all connections)</t>
  </si>
  <si>
    <t>In this sheet the costs of electricity distribution are determined</t>
  </si>
  <si>
    <t>These Capital costs numbers follow from a separate calculation that allocated assets (and depreciation) to Production and Distribution activities</t>
  </si>
  <si>
    <t>Total other income</t>
  </si>
  <si>
    <t>Estimation by ACM, based on data from SEC (and other network companies)</t>
  </si>
  <si>
    <t>Reconnection fees are 100% covering operational costs, so these should be fully subtracted from cost levels.</t>
  </si>
  <si>
    <t>In this sheet the distribution tariffs are calculated</t>
  </si>
  <si>
    <t>Subsidy per user</t>
  </si>
  <si>
    <t>USD, price level 2017</t>
  </si>
  <si>
    <t>USD/kWh, price level 2017</t>
  </si>
  <si>
    <t>Capacity tariff excl. subsidy</t>
  </si>
  <si>
    <t>Total costs associated with  new connections in 2015  (to be subtracted)</t>
  </si>
  <si>
    <t>(kVA)</t>
  </si>
  <si>
    <t>from 7,7 kVA 2-fuse applies</t>
  </si>
  <si>
    <t>3,2 kVA connections is a single fuse / 110V connection</t>
  </si>
  <si>
    <t>Total kVA:</t>
  </si>
  <si>
    <t>number of connections is total over household, commercial and government</t>
  </si>
  <si>
    <t>RAV SEC as from: 8-12-2016</t>
  </si>
  <si>
    <t>This includes an allocation of indirect capital costs (overhead)</t>
  </si>
  <si>
    <t>Direct disribution</t>
  </si>
  <si>
    <t>Source:</t>
  </si>
  <si>
    <t>Updated volumes based on e-mail from SEC of 15 Feb 2017</t>
  </si>
  <si>
    <t>Reported by SEC in email 18 Nov 2016, this number excludes upgrades</t>
  </si>
  <si>
    <t>Reported by SEC in e-mail 18 Nov 2016</t>
  </si>
  <si>
    <t>This was the income as reported by SEC over 2015, see 'KVA fees' in separate OPEX calculation</t>
  </si>
  <si>
    <t>Total income from new connections and upgrades in 2015</t>
  </si>
  <si>
    <t>Current tariff for new connections (excluding meter device)</t>
  </si>
  <si>
    <t>Costs of new connections in 2015 that were not reimbursed via connection tariff</t>
  </si>
  <si>
    <t>Costs of metering device are taken into account in kVA-tariff</t>
  </si>
  <si>
    <t>Other non-regulated income, to be netted with costs</t>
  </si>
  <si>
    <t>Total costs that are reimbursed via other activities than kVA-tariff</t>
  </si>
  <si>
    <t>Total costs associated with new connections in 2015  (to be subtracted)</t>
  </si>
  <si>
    <t>New connection tariff</t>
  </si>
  <si>
    <t>Production price calculation</t>
  </si>
  <si>
    <t>Fixed production price</t>
  </si>
  <si>
    <t>Fuel component</t>
  </si>
  <si>
    <t>Fuel price</t>
  </si>
  <si>
    <t>Most recent invoice (28-03-2017)</t>
  </si>
  <si>
    <t>USD/liter</t>
  </si>
  <si>
    <t>Based on formula as defined in production price model SEC</t>
  </si>
  <si>
    <t>Required amount of fuel</t>
  </si>
  <si>
    <t>liters/kWh</t>
  </si>
  <si>
    <t>Subsidy consumers 3,2 kVA</t>
  </si>
  <si>
    <t>USD per connection per month</t>
  </si>
  <si>
    <t>Communication 21-4-2017</t>
  </si>
  <si>
    <t>Subsidy consumers 7,7 kVA</t>
  </si>
  <si>
    <t>Subsidy (estimated total amount)</t>
  </si>
  <si>
    <t>NB: This is the amount based on a full year, while the subsidy that is granted in this model only applies to the period of july - december 2017</t>
  </si>
  <si>
    <t>Standard tariff 3,2 kVA</t>
  </si>
  <si>
    <t>Standard tariff 7,7 kVA</t>
  </si>
  <si>
    <t>Tariff per meter for trenchwork, if applicable</t>
  </si>
  <si>
    <t>This tariff includes cables up to 25 meters, it excludes trenchwork and metering device</t>
  </si>
  <si>
    <t>Based on average length of 20 meters trenchwork, weighted average number of 3,2 and 7,7 connections, and excluding meter</t>
  </si>
  <si>
    <t>Total costs 2015 as cost base for estimating income level 2017</t>
  </si>
  <si>
    <t>Estimated total cost 2015</t>
  </si>
  <si>
    <t>Cost base for estimating income level 2017</t>
  </si>
  <si>
    <t>Estimated income level corrected for inflation</t>
  </si>
  <si>
    <t>Estimated income level 2017</t>
  </si>
  <si>
    <t>Costs that are reimbursed via other activities than kVA-tariff</t>
  </si>
  <si>
    <t>New connections are currently partially paid for by customers, covering both OPEX and the investment (cables, fuse box, labor). ACM assumes that currently all costs end up on the P&amp;L.</t>
  </si>
  <si>
    <t>Reported by SEC</t>
  </si>
  <si>
    <t>This file is part of the distribution price decision with reference: 17.0289.52, the distribution price decision has filenumber ACM/DE/2017/202769,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</si>
</sst>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#,##0.0"/>
    <numFmt numFmtId="165" formatCode="_ * #,##0_ ;_ * \-#,##0_ ;_ * &quot;-&quot;??_ ;_ @_ "/>
    <numFmt numFmtId="166" formatCode="0.0%"/>
    <numFmt numFmtId="167" formatCode="_ * #,##0.000_ ;_ * \-#,##0.000_ ;_ * &quot;-&quot;??_ ;_ @_ "/>
    <numFmt numFmtId="168" formatCode="_ * #,##0.0000_ ;_ * \-#,##0.0000_ ;_ * &quot;-&quot;??_ ;_ @_ "/>
    <numFmt numFmtId="169" formatCode="#,##0.0000"/>
    <numFmt numFmtId="170" formatCode="_(* #,##0.00_);_(* \(#,##0.00\);_(* &quot;-&quot;??_);_(@_)"/>
    <numFmt numFmtId="171" formatCode="_([$€]* #,##0.00_);_([$€]* \(#,##0.00\);_([$€]* &quot;-&quot;??_);_(@_)"/>
    <numFmt numFmtId="172" formatCode="_-* #,##0.00_-;_-* #,##0.00\-;_-* &quot;-&quot;??_-;_-@_-"/>
    <numFmt numFmtId="173" formatCode="0.0000"/>
  </numFmts>
  <fonts count="5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9.5"/>
      <color theme="1"/>
      <name val="Arial"/>
      <family val="2"/>
    </font>
    <font>
      <sz val="9.5"/>
      <color rgb="FF1F497D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/>
    <xf numFmtId="9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7" fillId="14" borderId="0" applyNumberFormat="0" applyBorder="0" applyAlignment="0" applyProtection="0"/>
    <xf numFmtId="0" fontId="18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0" fontId="19" fillId="21" borderId="0" applyNumberFormat="0" applyBorder="0" applyAlignment="0" applyProtection="0"/>
    <xf numFmtId="0" fontId="20" fillId="21" borderId="0" applyNumberFormat="0" applyBorder="0" applyAlignment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25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30" borderId="0" applyNumberFormat="0" applyBorder="0" applyAlignment="0" applyProtection="0"/>
    <xf numFmtId="0" fontId="20" fillId="30" borderId="0" applyNumberFormat="0" applyBorder="0" applyAlignment="0" applyProtection="0"/>
    <xf numFmtId="0" fontId="19" fillId="25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6" borderId="0" applyNumberFormat="0" applyBorder="0" applyAlignment="0" applyProtection="0"/>
    <xf numFmtId="0" fontId="19" fillId="31" borderId="0" applyNumberFormat="0" applyBorder="0" applyAlignment="0" applyProtection="0"/>
    <xf numFmtId="0" fontId="20" fillId="31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32" borderId="3" applyNumberFormat="0" applyAlignment="0" applyProtection="0"/>
    <xf numFmtId="0" fontId="23" fillId="32" borderId="3" applyNumberFormat="0" applyAlignment="0" applyProtection="0"/>
    <xf numFmtId="0" fontId="24" fillId="32" borderId="3" applyNumberFormat="0" applyAlignment="0" applyProtection="0"/>
    <xf numFmtId="0" fontId="25" fillId="33" borderId="4" applyNumberFormat="0" applyAlignment="0" applyProtection="0"/>
    <xf numFmtId="0" fontId="26" fillId="33" borderId="4" applyNumberFormat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33" borderId="4" applyNumberFormat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3" fillId="0" borderId="0"/>
    <xf numFmtId="0" fontId="34" fillId="0" borderId="6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9" borderId="3" applyNumberFormat="0" applyAlignment="0" applyProtection="0"/>
    <xf numFmtId="0" fontId="41" fillId="19" borderId="3" applyNumberFormat="0" applyAlignment="0" applyProtection="0"/>
    <xf numFmtId="0" fontId="40" fillId="19" borderId="3" applyNumberFormat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34" fillId="0" borderId="6" applyNumberFormat="0" applyFill="0" applyAlignment="0" applyProtection="0"/>
    <xf numFmtId="0" fontId="36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42" fillId="0" borderId="5" applyNumberFormat="0" applyFill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4" fillId="34" borderId="0" applyNumberFormat="0" applyBorder="0" applyAlignment="0" applyProtection="0"/>
    <xf numFmtId="0" fontId="45" fillId="0" borderId="0"/>
    <xf numFmtId="0" fontId="27" fillId="0" borderId="0"/>
    <xf numFmtId="0" fontId="46" fillId="0" borderId="0"/>
    <xf numFmtId="0" fontId="14" fillId="35" borderId="9" applyNumberFormat="0" applyFont="0" applyAlignment="0" applyProtection="0"/>
    <xf numFmtId="0" fontId="27" fillId="35" borderId="9" applyNumberFormat="0" applyFont="0" applyAlignment="0" applyProtection="0"/>
    <xf numFmtId="0" fontId="14" fillId="35" borderId="9" applyNumberFormat="0" applyFont="0" applyAlignment="0" applyProtection="0"/>
    <xf numFmtId="0" fontId="21" fillId="15" borderId="0" applyNumberFormat="0" applyBorder="0" applyAlignment="0" applyProtection="0"/>
    <xf numFmtId="0" fontId="47" fillId="32" borderId="10" applyNumberFormat="0" applyAlignment="0" applyProtection="0"/>
    <xf numFmtId="0" fontId="48" fillId="32" borderId="10" applyNumberFormat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 applyFill="0"/>
    <xf numFmtId="0" fontId="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32" borderId="10" applyNumberFormat="0" applyAlignment="0" applyProtection="0"/>
    <xf numFmtId="0" fontId="2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ont="0" applyBorder="0" applyAlignment="0" applyProtection="0"/>
    <xf numFmtId="0" fontId="55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Border="1"/>
    <xf numFmtId="0" fontId="7" fillId="2" borderId="0" xfId="0" applyFont="1" applyFill="1"/>
    <xf numFmtId="0" fontId="4" fillId="0" borderId="0" xfId="0" applyFont="1"/>
    <xf numFmtId="0" fontId="0" fillId="0" borderId="0" xfId="0" applyFont="1" applyFill="1" applyBorder="1"/>
    <xf numFmtId="0" fontId="4" fillId="0" borderId="0" xfId="0" applyFont="1" applyBorder="1"/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0" fontId="0" fillId="4" borderId="0" xfId="1" applyNumberFormat="1" applyFont="1" applyFill="1" applyBorder="1"/>
    <xf numFmtId="3" fontId="0" fillId="4" borderId="0" xfId="0" applyNumberFormat="1" applyFill="1" applyBorder="1"/>
    <xf numFmtId="3" fontId="0" fillId="5" borderId="0" xfId="0" applyNumberFormat="1" applyFill="1" applyBorder="1"/>
    <xf numFmtId="3" fontId="0" fillId="5" borderId="0" xfId="0" applyNumberFormat="1" applyFont="1" applyFill="1" applyBorder="1"/>
    <xf numFmtId="3" fontId="0" fillId="4" borderId="0" xfId="0" applyNumberFormat="1" applyFont="1" applyFill="1" applyBorder="1"/>
    <xf numFmtId="3" fontId="0" fillId="7" borderId="0" xfId="0" applyNumberFormat="1" applyFont="1" applyFill="1" applyBorder="1"/>
    <xf numFmtId="3" fontId="0" fillId="7" borderId="0" xfId="0" applyNumberFormat="1" applyFill="1"/>
    <xf numFmtId="166" fontId="0" fillId="3" borderId="0" xfId="1" applyNumberFormat="1" applyFont="1" applyFill="1"/>
    <xf numFmtId="0" fontId="1" fillId="0" borderId="0" xfId="0" applyFont="1" applyBorder="1" applyAlignment="1"/>
    <xf numFmtId="0" fontId="9" fillId="0" borderId="0" xfId="0" applyFont="1" applyBorder="1"/>
    <xf numFmtId="0" fontId="10" fillId="0" borderId="0" xfId="0" applyFont="1" applyBorder="1"/>
    <xf numFmtId="165" fontId="0" fillId="3" borderId="0" xfId="3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Fill="1" applyBorder="1"/>
    <xf numFmtId="0" fontId="11" fillId="0" borderId="0" xfId="0" applyFont="1"/>
    <xf numFmtId="0" fontId="0" fillId="0" borderId="0" xfId="0" applyFont="1" applyBorder="1" applyAlignment="1">
      <alignment horizontal="center"/>
    </xf>
    <xf numFmtId="164" fontId="0" fillId="4" borderId="0" xfId="0" applyNumberFormat="1" applyFont="1" applyFill="1" applyBorder="1"/>
    <xf numFmtId="3" fontId="0" fillId="3" borderId="0" xfId="0" applyNumberFormat="1" applyFill="1" applyBorder="1"/>
    <xf numFmtId="0" fontId="1" fillId="0" borderId="0" xfId="0" applyFont="1" applyFill="1"/>
    <xf numFmtId="3" fontId="0" fillId="0" borderId="0" xfId="0" applyNumberFormat="1" applyFill="1" applyBorder="1"/>
    <xf numFmtId="3" fontId="0" fillId="0" borderId="0" xfId="0" applyNumberFormat="1" applyFill="1"/>
    <xf numFmtId="3" fontId="0" fillId="0" borderId="0" xfId="0" applyNumberFormat="1" applyFont="1" applyFill="1" applyBorder="1"/>
    <xf numFmtId="0" fontId="1" fillId="0" borderId="0" xfId="0" applyFont="1" applyBorder="1" applyAlignment="1">
      <alignment horizontal="left"/>
    </xf>
    <xf numFmtId="165" fontId="0" fillId="5" borderId="0" xfId="3" applyNumberFormat="1" applyFont="1" applyFill="1"/>
    <xf numFmtId="165" fontId="0" fillId="7" borderId="0" xfId="3" applyNumberFormat="1" applyFont="1" applyFill="1" applyBorder="1" applyAlignment="1">
      <alignment horizontal="center"/>
    </xf>
    <xf numFmtId="0" fontId="0" fillId="0" borderId="0" xfId="0" applyFont="1" applyBorder="1" applyAlignment="1"/>
    <xf numFmtId="165" fontId="0" fillId="3" borderId="0" xfId="0" applyNumberFormat="1" applyFont="1" applyFill="1"/>
    <xf numFmtId="3" fontId="0" fillId="0" borderId="0" xfId="0" applyNumberFormat="1" applyFont="1" applyBorder="1"/>
    <xf numFmtId="0" fontId="0" fillId="2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65" fontId="0" fillId="3" borderId="0" xfId="3" applyNumberFormat="1" applyFont="1" applyFill="1" applyAlignment="1">
      <alignment vertical="center"/>
    </xf>
    <xf numFmtId="165" fontId="0" fillId="5" borderId="0" xfId="3" applyNumberFormat="1" applyFont="1" applyFill="1" applyAlignment="1">
      <alignment vertical="center"/>
    </xf>
    <xf numFmtId="0" fontId="0" fillId="3" borderId="0" xfId="0" applyFont="1" applyFill="1" applyBorder="1"/>
    <xf numFmtId="0" fontId="0" fillId="3" borderId="0" xfId="0" applyFill="1" applyBorder="1"/>
    <xf numFmtId="0" fontId="1" fillId="5" borderId="0" xfId="0" applyFont="1" applyFill="1" applyBorder="1"/>
    <xf numFmtId="0" fontId="12" fillId="2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Border="1"/>
    <xf numFmtId="4" fontId="11" fillId="0" borderId="0" xfId="0" applyNumberFormat="1" applyFont="1" applyFill="1" applyBorder="1"/>
    <xf numFmtId="0" fontId="11" fillId="0" borderId="0" xfId="0" applyFont="1" applyFill="1"/>
    <xf numFmtId="0" fontId="12" fillId="0" borderId="0" xfId="0" applyFont="1" applyBorder="1"/>
    <xf numFmtId="1" fontId="11" fillId="0" borderId="0" xfId="0" applyNumberFormat="1" applyFont="1"/>
    <xf numFmtId="0" fontId="11" fillId="0" borderId="0" xfId="0" applyFont="1" applyBorder="1" applyAlignment="1">
      <alignment vertical="center" wrapText="1"/>
    </xf>
    <xf numFmtId="0" fontId="11" fillId="2" borderId="0" xfId="0" applyFont="1" applyFill="1"/>
    <xf numFmtId="0" fontId="0" fillId="0" borderId="0" xfId="0" applyFont="1" applyFill="1"/>
    <xf numFmtId="10" fontId="0" fillId="4" borderId="0" xfId="0" applyNumberFormat="1" applyFont="1" applyFill="1"/>
    <xf numFmtId="167" fontId="0" fillId="5" borderId="0" xfId="3" applyNumberFormat="1" applyFont="1" applyFill="1" applyBorder="1"/>
    <xf numFmtId="4" fontId="0" fillId="5" borderId="0" xfId="0" applyNumberFormat="1" applyFont="1" applyFill="1" applyBorder="1"/>
    <xf numFmtId="4" fontId="0" fillId="7" borderId="0" xfId="0" applyNumberFormat="1" applyFont="1" applyFill="1" applyBorder="1"/>
    <xf numFmtId="165" fontId="0" fillId="7" borderId="0" xfId="0" applyNumberFormat="1" applyFont="1" applyFill="1"/>
    <xf numFmtId="0" fontId="13" fillId="0" borderId="0" xfId="0" applyFont="1" applyFill="1" applyBorder="1"/>
    <xf numFmtId="0" fontId="0" fillId="0" borderId="0" xfId="0" applyFont="1" applyBorder="1" applyAlignment="1">
      <alignment horizontal="left"/>
    </xf>
    <xf numFmtId="168" fontId="0" fillId="7" borderId="0" xfId="3" applyNumberFormat="1" applyFont="1" applyFill="1"/>
    <xf numFmtId="3" fontId="0" fillId="0" borderId="0" xfId="0" applyNumberFormat="1"/>
    <xf numFmtId="0" fontId="0" fillId="3" borderId="0" xfId="0" applyFill="1"/>
    <xf numFmtId="169" fontId="0" fillId="4" borderId="0" xfId="0" applyNumberFormat="1" applyFont="1" applyFill="1" applyBorder="1"/>
    <xf numFmtId="10" fontId="0" fillId="3" borderId="0" xfId="1" applyNumberFormat="1" applyFont="1" applyFill="1"/>
    <xf numFmtId="0" fontId="1" fillId="0" borderId="0" xfId="0" applyFont="1" applyBorder="1" applyAlignment="1">
      <alignment horizontal="center"/>
    </xf>
    <xf numFmtId="0" fontId="10" fillId="8" borderId="2" xfId="5" applyFont="1" applyFill="1" applyBorder="1"/>
    <xf numFmtId="0" fontId="9" fillId="0" borderId="0" xfId="5" applyFont="1" applyAlignment="1"/>
    <xf numFmtId="0" fontId="9" fillId="0" borderId="0" xfId="5" applyFont="1" applyAlignment="1">
      <alignment horizontal="left" wrapText="1"/>
    </xf>
    <xf numFmtId="0" fontId="10" fillId="0" borderId="0" xfId="5" applyFont="1" applyAlignment="1">
      <alignment horizontal="left" wrapText="1"/>
    </xf>
    <xf numFmtId="0" fontId="9" fillId="9" borderId="0" xfId="5" applyFont="1" applyFill="1"/>
    <xf numFmtId="0" fontId="10" fillId="9" borderId="0" xfId="5" applyFont="1" applyFill="1"/>
    <xf numFmtId="0" fontId="10" fillId="8" borderId="2" xfId="6" applyFont="1" applyFill="1" applyBorder="1"/>
    <xf numFmtId="0" fontId="9" fillId="10" borderId="1" xfId="7" applyFont="1" applyFill="1" applyBorder="1"/>
    <xf numFmtId="0" fontId="9" fillId="11" borderId="0" xfId="7" applyFont="1" applyFill="1" applyBorder="1"/>
    <xf numFmtId="0" fontId="9" fillId="5" borderId="1" xfId="7" applyFont="1" applyFill="1" applyBorder="1"/>
    <xf numFmtId="0" fontId="9" fillId="12" borderId="1" xfId="7" applyFont="1" applyFill="1" applyBorder="1"/>
    <xf numFmtId="0" fontId="16" fillId="11" borderId="0" xfId="7" applyFont="1" applyFill="1" applyBorder="1"/>
    <xf numFmtId="0" fontId="9" fillId="13" borderId="1" xfId="7" applyFont="1" applyFill="1" applyBorder="1"/>
    <xf numFmtId="0" fontId="9" fillId="6" borderId="1" xfId="7" applyFont="1" applyFill="1" applyBorder="1"/>
    <xf numFmtId="2" fontId="0" fillId="3" borderId="0" xfId="0" applyNumberFormat="1" applyFill="1"/>
    <xf numFmtId="0" fontId="55" fillId="0" borderId="0" xfId="137"/>
    <xf numFmtId="10" fontId="0" fillId="5" borderId="0" xfId="1" applyNumberFormat="1" applyFont="1" applyFill="1"/>
    <xf numFmtId="166" fontId="0" fillId="7" borderId="0" xfId="0" applyNumberFormat="1" applyFill="1"/>
    <xf numFmtId="166" fontId="0" fillId="4" borderId="0" xfId="1" applyNumberFormat="1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2" fillId="7" borderId="0" xfId="3" applyNumberFormat="1" applyFont="1" applyFill="1" applyAlignment="1">
      <alignment vertical="center"/>
    </xf>
    <xf numFmtId="165" fontId="2" fillId="5" borderId="0" xfId="3" applyNumberFormat="1" applyFont="1" applyFill="1" applyAlignment="1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3" fontId="1" fillId="5" borderId="0" xfId="0" applyNumberFormat="1" applyFont="1" applyFill="1" applyBorder="1"/>
    <xf numFmtId="165" fontId="0" fillId="4" borderId="0" xfId="3" applyNumberFormat="1" applyFont="1" applyFill="1" applyBorder="1"/>
    <xf numFmtId="43" fontId="0" fillId="7" borderId="0" xfId="3" applyFont="1" applyFill="1"/>
    <xf numFmtId="169" fontId="0" fillId="5" borderId="0" xfId="0" applyNumberFormat="1" applyFill="1" applyBorder="1"/>
    <xf numFmtId="173" fontId="0" fillId="3" borderId="0" xfId="0" applyNumberFormat="1" applyFill="1"/>
    <xf numFmtId="173" fontId="0" fillId="0" borderId="0" xfId="0" applyNumberFormat="1" applyFill="1"/>
    <xf numFmtId="173" fontId="0" fillId="5" borderId="0" xfId="0" applyNumberFormat="1" applyFill="1"/>
    <xf numFmtId="4" fontId="0" fillId="6" borderId="0" xfId="0" applyNumberFormat="1" applyFont="1" applyFill="1" applyBorder="1"/>
    <xf numFmtId="4" fontId="0" fillId="36" borderId="0" xfId="0" applyNumberFormat="1" applyFont="1" applyFill="1" applyBorder="1"/>
    <xf numFmtId="0" fontId="56" fillId="0" borderId="0" xfId="0" applyFont="1"/>
    <xf numFmtId="43" fontId="0" fillId="3" borderId="0" xfId="3" applyFont="1" applyFill="1"/>
    <xf numFmtId="0" fontId="57" fillId="0" borderId="0" xfId="0" applyFont="1" applyAlignment="1">
      <alignment horizontal="left" vertical="center" indent="5"/>
    </xf>
    <xf numFmtId="43" fontId="0" fillId="0" borderId="0" xfId="0" applyNumberFormat="1" applyFont="1"/>
    <xf numFmtId="43" fontId="0" fillId="5" borderId="0" xfId="3" applyFont="1" applyFill="1" applyAlignment="1">
      <alignment vertical="center"/>
    </xf>
    <xf numFmtId="3" fontId="0" fillId="4" borderId="0" xfId="0" applyNumberFormat="1" applyFill="1"/>
    <xf numFmtId="3" fontId="0" fillId="5" borderId="0" xfId="0" applyNumberFormat="1" applyFill="1"/>
  </cellXfs>
  <cellStyles count="138">
    <cellStyle name="_x000d__x000a_JournalTemplate=C:\COMFO\CTALK\JOURSTD.TPL_x000d__x000a_LbStateAddress=3 3 0 251 1 89 2 311_x000d__x000a_LbStateJou" xfId="6"/>
    <cellStyle name="_x000d__x000a_JournalTemplate=C:\COMFO\CTALK\JOURSTD.TPL_x000d__x000a_LbStateAddress=3 3 0 251 1 89 2 311_x000d__x000a_LbStateJou 2" xfId="8"/>
    <cellStyle name="_x000d__x000a_JournalTemplate=C:\COMFO\CTALK\JOURSTD.TPL_x000d__x000a_LbStateAddress=3 3 0 251 1 89 2 311_x000d__x000a_LbStateJou 2 2" xfId="9"/>
    <cellStyle name="_x000d__x000a_JournalTemplate=C:\COMFO\CTALK\JOURSTD.TPL_x000d__x000a_LbStateAddress=3 3 0 251 1 89 2 311_x000d__x000a_LbStateJou 3" xfId="10"/>
    <cellStyle name="_x000d__x000a_JournalTemplate=C:\COMFO\CTALK\JOURSTD.TPL_x000d__x000a_LbStateAddress=3 3 0 251 1 89 2 311_x000d__x000a_LbStateJou 4" xfId="11"/>
    <cellStyle name="_x000d__x000a_JournalTemplate=C:\COMFO\CTALK\JOURSTD.TPL_x000d__x000a_LbStateAddress=3 3 0 251 1 89 2 311_x000d__x000a_LbStateJou_100720 berekening x-factoren NG4R v4.2" xfId="12"/>
    <cellStyle name="20% - Accent1 2" xfId="13"/>
    <cellStyle name="20% - Accent1 3" xfId="14"/>
    <cellStyle name="20% - Accent2 2" xfId="15"/>
    <cellStyle name="20% - Accent2 3" xfId="16"/>
    <cellStyle name="20% - Accent3 2" xfId="17"/>
    <cellStyle name="20% - Accent3 3" xfId="18"/>
    <cellStyle name="20% - Accent4 2" xfId="19"/>
    <cellStyle name="20% - Accent4 3" xfId="20"/>
    <cellStyle name="20% - Accent5 2" xfId="21"/>
    <cellStyle name="20% - Accent5 3" xfId="22"/>
    <cellStyle name="20% - Accent6 2" xfId="23"/>
    <cellStyle name="20% - Accent6 3" xfId="24"/>
    <cellStyle name="40% - Accent1 2" xfId="25"/>
    <cellStyle name="40% - Accent1 3" xfId="26"/>
    <cellStyle name="40% - Accent2 2" xfId="27"/>
    <cellStyle name="40% - Accent2 3" xfId="28"/>
    <cellStyle name="40% - Accent3 2" xfId="29"/>
    <cellStyle name="40% - Accent3 3" xfId="30"/>
    <cellStyle name="40% - Accent4 2" xfId="31"/>
    <cellStyle name="40% - Accent4 3" xfId="32"/>
    <cellStyle name="40% - Accent5 2" xfId="33"/>
    <cellStyle name="40% - Accent5 3" xfId="34"/>
    <cellStyle name="40% - Accent6 2" xfId="35"/>
    <cellStyle name="40% - Accent6 3" xfId="36"/>
    <cellStyle name="60% - Accent1 2" xfId="37"/>
    <cellStyle name="60% - Accent1 3" xfId="38"/>
    <cellStyle name="60% - Accent2 2" xfId="39"/>
    <cellStyle name="60% - Accent2 3" xfId="40"/>
    <cellStyle name="60% - Accent3 2" xfId="41"/>
    <cellStyle name="60% - Accent3 3" xfId="42"/>
    <cellStyle name="60% - Accent4 2" xfId="43"/>
    <cellStyle name="60% - Accent4 3" xfId="44"/>
    <cellStyle name="60% - Accent5 2" xfId="45"/>
    <cellStyle name="60% - Accent5 3" xfId="46"/>
    <cellStyle name="60% - Accent6 2" xfId="47"/>
    <cellStyle name="60% - Accent6 3" xfId="48"/>
    <cellStyle name="Accent1 2" xfId="49"/>
    <cellStyle name="Accent1 3" xfId="50"/>
    <cellStyle name="Accent2 2" xfId="51"/>
    <cellStyle name="Accent2 3" xfId="52"/>
    <cellStyle name="Accent3 2" xfId="53"/>
    <cellStyle name="Accent3 3" xfId="54"/>
    <cellStyle name="Accent4 2" xfId="55"/>
    <cellStyle name="Accent4 3" xfId="56"/>
    <cellStyle name="Accent5 2" xfId="57"/>
    <cellStyle name="Accent5 3" xfId="58"/>
    <cellStyle name="Accent6 2" xfId="59"/>
    <cellStyle name="Accent6 3" xfId="60"/>
    <cellStyle name="Bad" xfId="61"/>
    <cellStyle name="Bad 2" xfId="62"/>
    <cellStyle name="Berekening 2" xfId="63"/>
    <cellStyle name="Calculation" xfId="64"/>
    <cellStyle name="Calculation 2" xfId="65"/>
    <cellStyle name="Check Cell" xfId="66"/>
    <cellStyle name="Check Cell 2" xfId="67"/>
    <cellStyle name="Comma 2" xfId="68"/>
    <cellStyle name="Comma 3" xfId="69"/>
    <cellStyle name="Controlecel 2" xfId="70"/>
    <cellStyle name="Euro" xfId="71"/>
    <cellStyle name="Euro 2" xfId="72"/>
    <cellStyle name="Explanatory Text" xfId="73"/>
    <cellStyle name="Explanatory Text 2" xfId="74"/>
    <cellStyle name="Gekoppelde cel 2" xfId="75"/>
    <cellStyle name="Goed 2" xfId="76"/>
    <cellStyle name="Good" xfId="77"/>
    <cellStyle name="Good 2" xfId="78"/>
    <cellStyle name="Header" xfId="79"/>
    <cellStyle name="Heading 1" xfId="80"/>
    <cellStyle name="Heading 1 2" xfId="81"/>
    <cellStyle name="Heading 2" xfId="82"/>
    <cellStyle name="Heading 2 2" xfId="83"/>
    <cellStyle name="Heading 3" xfId="84"/>
    <cellStyle name="Heading 3 2" xfId="85"/>
    <cellStyle name="Heading 4" xfId="86"/>
    <cellStyle name="Heading 4 2" xfId="87"/>
    <cellStyle name="Hyperlink" xfId="137" builtinId="8"/>
    <cellStyle name="Input" xfId="88"/>
    <cellStyle name="Input 2" xfId="89"/>
    <cellStyle name="Invoer 2" xfId="90"/>
    <cellStyle name="Komma" xfId="3" builtinId="3"/>
    <cellStyle name="Komma 14 2" xfId="91"/>
    <cellStyle name="Komma 2" xfId="92"/>
    <cellStyle name="Komma 2 2" xfId="93"/>
    <cellStyle name="Komma 2 3" xfId="94"/>
    <cellStyle name="Komma 3" xfId="95"/>
    <cellStyle name="Komma 3 2" xfId="96"/>
    <cellStyle name="Komma 4" xfId="97"/>
    <cellStyle name="Komma 5" xfId="98"/>
    <cellStyle name="Kop 1 2" xfId="99"/>
    <cellStyle name="Kop 2 2" xfId="100"/>
    <cellStyle name="Kop 3 2" xfId="101"/>
    <cellStyle name="Kop 4 2" xfId="102"/>
    <cellStyle name="Linked Cell" xfId="103"/>
    <cellStyle name="Linked Cell 2" xfId="104"/>
    <cellStyle name="Neutraal 2" xfId="105"/>
    <cellStyle name="Neutral" xfId="106"/>
    <cellStyle name="Neutral 2" xfId="107"/>
    <cellStyle name="Normal 2" xfId="108"/>
    <cellStyle name="Normal 3" xfId="109"/>
    <cellStyle name="Normal_# klanten" xfId="110"/>
    <cellStyle name="Note" xfId="111"/>
    <cellStyle name="Note 2" xfId="112"/>
    <cellStyle name="Notitie 2" xfId="113"/>
    <cellStyle name="Ongeldig 2" xfId="114"/>
    <cellStyle name="Output" xfId="115"/>
    <cellStyle name="Output 2" xfId="116"/>
    <cellStyle name="Procent" xfId="1" builtinId="5"/>
    <cellStyle name="Procent 2" xfId="117"/>
    <cellStyle name="Procent 3" xfId="118"/>
    <cellStyle name="Procent 4" xfId="119"/>
    <cellStyle name="Standaard" xfId="0" builtinId="0"/>
    <cellStyle name="Standaard 2" xfId="2"/>
    <cellStyle name="Standaard 2 2" xfId="4"/>
    <cellStyle name="Standaard 2 3" xfId="120"/>
    <cellStyle name="Standaard 2 4" xfId="121"/>
    <cellStyle name="Standaard 3" xfId="122"/>
    <cellStyle name="Standaard 4" xfId="123"/>
    <cellStyle name="Standaard 5" xfId="124"/>
    <cellStyle name="Standaard 6" xfId="5"/>
    <cellStyle name="Standaard_20100727 Rekenmodel NE5R v1.9" xfId="7"/>
    <cellStyle name="Titel 2" xfId="125"/>
    <cellStyle name="Title" xfId="126"/>
    <cellStyle name="Title 2" xfId="127"/>
    <cellStyle name="Totaal 2" xfId="128"/>
    <cellStyle name="Total" xfId="129"/>
    <cellStyle name="Total 2" xfId="130"/>
    <cellStyle name="Uitvoer 2" xfId="131"/>
    <cellStyle name="Verklarende tekst 2" xfId="132"/>
    <cellStyle name="Waarschuwingstekst 2" xfId="133"/>
    <cellStyle name="Warning Text" xfId="134"/>
    <cellStyle name="Warning Text 2" xfId="135"/>
    <cellStyle name="WIt" xfId="136"/>
  </cellStyles>
  <dxfs count="0"/>
  <tableStyles count="0" defaultTableStyle="TableStyleMedium2" defaultPivotStyle="PivotStyleLight16"/>
  <colors>
    <mruColors>
      <color rgb="FFFFFFCC"/>
      <color rgb="FFFFCC99"/>
      <color rgb="FFCCFFFF"/>
      <color rgb="FFFFCCFF"/>
      <color rgb="FFCC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statline.cbs.nl/Statweb/publication/?DM=SLNL&amp;PA=81122NED&amp;D1=0-2&amp;D2=0&amp;D3=a&amp;D4=a&amp;VW=T" TargetMode="Externa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B29"/>
  <sheetViews>
    <sheetView showGridLines="0" zoomScale="85" zoomScaleNormal="85" workbookViewId="0">
      <selection activeCell="B6" sqref="B6"/>
    </sheetView>
  </sheetViews>
  <sheetFormatPr defaultRowHeight="15"/>
  <cols>
    <col min="1" max="1" width="9.140625" style="6"/>
    <col min="2" max="2" width="172.42578125" style="6" customWidth="1"/>
    <col min="3" max="16384" width="9.140625" style="6"/>
  </cols>
  <sheetData>
    <row r="1" spans="1:2" s="2" customFormat="1" ht="35.25" customHeight="1">
      <c r="A1" s="2" t="s">
        <v>99</v>
      </c>
    </row>
    <row r="3" spans="1:2">
      <c r="A3" s="8"/>
      <c r="B3" s="75" t="s">
        <v>88</v>
      </c>
    </row>
    <row r="4" spans="1:2">
      <c r="A4" s="8"/>
      <c r="B4" s="8"/>
    </row>
    <row r="5" spans="1:2">
      <c r="A5" s="8"/>
      <c r="B5" s="76" t="s">
        <v>146</v>
      </c>
    </row>
    <row r="6" spans="1:2">
      <c r="A6" s="8"/>
      <c r="B6" s="76" t="s">
        <v>215</v>
      </c>
    </row>
    <row r="7" spans="1:2">
      <c r="A7" s="8"/>
      <c r="B7" s="76" t="s">
        <v>89</v>
      </c>
    </row>
    <row r="8" spans="1:2">
      <c r="A8" s="8"/>
      <c r="B8" s="77"/>
    </row>
    <row r="9" spans="1:2">
      <c r="A9" s="8"/>
      <c r="B9" s="77" t="s">
        <v>90</v>
      </c>
    </row>
    <row r="10" spans="1:2">
      <c r="A10" s="8"/>
      <c r="B10" s="78" t="s">
        <v>91</v>
      </c>
    </row>
    <row r="11" spans="1:2">
      <c r="A11" s="8"/>
      <c r="B11" s="78" t="s">
        <v>100</v>
      </c>
    </row>
    <row r="12" spans="1:2">
      <c r="A12" s="8"/>
      <c r="B12" s="79" t="s">
        <v>101</v>
      </c>
    </row>
    <row r="13" spans="1:2">
      <c r="A13" s="8"/>
      <c r="B13" s="80" t="s">
        <v>102</v>
      </c>
    </row>
    <row r="14" spans="1:2">
      <c r="A14" s="8"/>
      <c r="B14" s="79" t="s">
        <v>103</v>
      </c>
    </row>
    <row r="15" spans="1:2">
      <c r="A15" s="8"/>
      <c r="B15" s="79" t="s">
        <v>92</v>
      </c>
    </row>
    <row r="16" spans="1:2">
      <c r="A16" s="8"/>
      <c r="B16" s="80"/>
    </row>
    <row r="17" spans="1:2">
      <c r="A17" s="8"/>
      <c r="B17" s="8"/>
    </row>
    <row r="18" spans="1:2">
      <c r="A18" s="8"/>
      <c r="B18" s="81" t="s">
        <v>93</v>
      </c>
    </row>
    <row r="19" spans="1:2">
      <c r="A19" s="8"/>
      <c r="B19" s="8"/>
    </row>
    <row r="20" spans="1:2">
      <c r="A20" s="8"/>
      <c r="B20" s="82" t="s">
        <v>94</v>
      </c>
    </row>
    <row r="21" spans="1:2">
      <c r="A21" s="8"/>
      <c r="B21" s="83"/>
    </row>
    <row r="22" spans="1:2">
      <c r="A22" s="8"/>
      <c r="B22" s="84" t="s">
        <v>95</v>
      </c>
    </row>
    <row r="23" spans="1:2">
      <c r="A23" s="8"/>
      <c r="B23" s="83"/>
    </row>
    <row r="24" spans="1:2">
      <c r="A24" s="8"/>
      <c r="B24" s="85" t="s">
        <v>96</v>
      </c>
    </row>
    <row r="25" spans="1:2">
      <c r="A25" s="8"/>
      <c r="B25" s="86"/>
    </row>
    <row r="26" spans="1:2">
      <c r="A26" s="8"/>
      <c r="B26" s="87" t="s">
        <v>97</v>
      </c>
    </row>
    <row r="27" spans="1:2">
      <c r="A27" s="8"/>
      <c r="B27" s="8"/>
    </row>
    <row r="28" spans="1:2">
      <c r="A28" s="8"/>
      <c r="B28" s="88" t="s">
        <v>98</v>
      </c>
    </row>
    <row r="29" spans="1:2">
      <c r="A29" s="8"/>
      <c r="B29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CCFFCC"/>
  </sheetPr>
  <dimension ref="A1:G30"/>
  <sheetViews>
    <sheetView showGridLines="0" zoomScale="85" zoomScaleNormal="85" workbookViewId="0"/>
  </sheetViews>
  <sheetFormatPr defaultRowHeight="15"/>
  <cols>
    <col min="2" max="2" width="37.85546875" customWidth="1"/>
    <col min="3" max="3" width="30.7109375" style="6" customWidth="1"/>
    <col min="4" max="4" width="3.5703125" style="6" customWidth="1"/>
    <col min="5" max="5" width="13.85546875" customWidth="1"/>
    <col min="6" max="6" width="9.85546875" customWidth="1"/>
    <col min="8" max="8" width="14.5703125" customWidth="1"/>
  </cols>
  <sheetData>
    <row r="1" spans="1:7" s="2" customFormat="1" ht="35.25" customHeight="1">
      <c r="A1" s="2" t="s">
        <v>15</v>
      </c>
    </row>
    <row r="3" spans="1:7">
      <c r="B3" s="7" t="s">
        <v>87</v>
      </c>
      <c r="C3" s="7"/>
      <c r="D3" s="7"/>
      <c r="G3" s="7" t="s">
        <v>147</v>
      </c>
    </row>
    <row r="4" spans="1:7">
      <c r="B4" t="s">
        <v>26</v>
      </c>
      <c r="C4" s="6" t="s">
        <v>2</v>
      </c>
      <c r="E4" s="73">
        <v>6.5699999999999995E-2</v>
      </c>
      <c r="G4" s="8" t="s">
        <v>45</v>
      </c>
    </row>
    <row r="5" spans="1:7" s="6" customFormat="1">
      <c r="B5" t="s">
        <v>43</v>
      </c>
      <c r="C5" s="6" t="s">
        <v>2</v>
      </c>
      <c r="E5" s="93">
        <f>'CPI CN'!F31</f>
        <v>-4.0000000000000001E-3</v>
      </c>
      <c r="G5" s="8"/>
    </row>
    <row r="6" spans="1:7" s="6" customFormat="1">
      <c r="B6" t="s">
        <v>44</v>
      </c>
      <c r="C6" s="6" t="s">
        <v>2</v>
      </c>
      <c r="E6" s="93">
        <f>'CPI CN'!F32</f>
        <v>2E-3</v>
      </c>
      <c r="G6" s="8"/>
    </row>
    <row r="7" spans="1:7">
      <c r="E7" s="6"/>
      <c r="G7" s="8"/>
    </row>
    <row r="8" spans="1:7">
      <c r="B8" t="s">
        <v>19</v>
      </c>
      <c r="C8" s="6" t="s">
        <v>12</v>
      </c>
      <c r="E8" s="33">
        <v>9376000</v>
      </c>
      <c r="G8" s="8" t="s">
        <v>84</v>
      </c>
    </row>
    <row r="9" spans="1:7" s="6" customFormat="1">
      <c r="G9" s="8"/>
    </row>
    <row r="10" spans="1:7" s="6" customFormat="1">
      <c r="B10" s="7" t="s">
        <v>187</v>
      </c>
      <c r="G10" s="8"/>
    </row>
    <row r="11" spans="1:7" s="6" customFormat="1">
      <c r="B11" s="6" t="s">
        <v>188</v>
      </c>
      <c r="C11" s="6" t="s">
        <v>13</v>
      </c>
      <c r="E11" s="104">
        <v>0.12070879648525522</v>
      </c>
      <c r="G11" s="8" t="s">
        <v>84</v>
      </c>
    </row>
    <row r="12" spans="1:7" s="6" customFormat="1">
      <c r="B12" s="6" t="s">
        <v>190</v>
      </c>
      <c r="C12" s="6" t="s">
        <v>192</v>
      </c>
      <c r="E12" s="104">
        <v>0.68840000000000001</v>
      </c>
      <c r="G12" s="8" t="s">
        <v>191</v>
      </c>
    </row>
    <row r="13" spans="1:7" s="6" customFormat="1">
      <c r="B13" s="6" t="s">
        <v>194</v>
      </c>
      <c r="C13" s="6" t="s">
        <v>195</v>
      </c>
      <c r="E13" s="104">
        <v>0.25714900000000002</v>
      </c>
      <c r="G13" s="8" t="s">
        <v>84</v>
      </c>
    </row>
    <row r="14" spans="1:7" s="6" customFormat="1">
      <c r="B14" s="6" t="s">
        <v>189</v>
      </c>
      <c r="C14" s="6" t="s">
        <v>13</v>
      </c>
      <c r="E14" s="106">
        <f>E12*E13</f>
        <v>0.1770213716</v>
      </c>
      <c r="G14" s="8" t="s">
        <v>193</v>
      </c>
    </row>
    <row r="15" spans="1:7" s="6" customFormat="1">
      <c r="E15" s="105"/>
      <c r="G15" s="8"/>
    </row>
    <row r="16" spans="1:7" s="6" customFormat="1">
      <c r="B16" s="6" t="s">
        <v>6</v>
      </c>
      <c r="C16" s="6" t="s">
        <v>13</v>
      </c>
      <c r="E16" s="103">
        <f>E11+E14</f>
        <v>0.29773016808525521</v>
      </c>
      <c r="G16" s="8"/>
    </row>
    <row r="17" spans="2:7" s="6" customFormat="1">
      <c r="E17" s="35"/>
    </row>
    <row r="18" spans="2:7">
      <c r="B18" t="s">
        <v>25</v>
      </c>
      <c r="C18" s="6" t="s">
        <v>2</v>
      </c>
      <c r="E18" s="73">
        <v>7.1800000000000003E-2</v>
      </c>
      <c r="G18" t="s">
        <v>42</v>
      </c>
    </row>
    <row r="19" spans="2:7" s="6" customFormat="1"/>
    <row r="20" spans="2:7" s="6" customFormat="1">
      <c r="B20" s="7" t="s">
        <v>10</v>
      </c>
      <c r="D20" s="1"/>
    </row>
    <row r="21" spans="2:7" s="6" customFormat="1">
      <c r="B21" s="6" t="s">
        <v>196</v>
      </c>
      <c r="C21" s="6" t="s">
        <v>197</v>
      </c>
      <c r="E21" s="110">
        <v>27.338618265459406</v>
      </c>
      <c r="G21" s="6" t="s">
        <v>198</v>
      </c>
    </row>
    <row r="22" spans="2:7" s="6" customFormat="1">
      <c r="B22" s="6" t="s">
        <v>199</v>
      </c>
      <c r="C22" s="6" t="s">
        <v>197</v>
      </c>
      <c r="E22" s="110">
        <v>51.16498348987021</v>
      </c>
      <c r="G22" s="6" t="s">
        <v>198</v>
      </c>
    </row>
    <row r="23" spans="2:7" s="6" customFormat="1">
      <c r="B23" s="6" t="s">
        <v>200</v>
      </c>
      <c r="C23" s="6" t="s">
        <v>162</v>
      </c>
      <c r="E23" s="33">
        <v>591916</v>
      </c>
      <c r="G23" s="6" t="s">
        <v>201</v>
      </c>
    </row>
    <row r="26" spans="2:7">
      <c r="B26" s="11"/>
      <c r="C26" s="11"/>
      <c r="D26" s="11"/>
    </row>
    <row r="28" spans="2:7">
      <c r="G28" s="6"/>
    </row>
    <row r="29" spans="2:7">
      <c r="B29" s="28" t="s">
        <v>82</v>
      </c>
      <c r="G29" s="6"/>
    </row>
    <row r="30" spans="2:7">
      <c r="G30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CCFFCC"/>
  </sheetPr>
  <dimension ref="A1:H27"/>
  <sheetViews>
    <sheetView showGridLines="0" zoomScale="85" zoomScaleNormal="85" workbookViewId="0"/>
  </sheetViews>
  <sheetFormatPr defaultRowHeight="15"/>
  <cols>
    <col min="1" max="1" width="5.28515625" customWidth="1"/>
    <col min="2" max="2" width="25" customWidth="1"/>
    <col min="3" max="3" width="30.5703125" customWidth="1"/>
    <col min="5" max="5" width="23.28515625" customWidth="1"/>
    <col min="6" max="6" width="5.28515625" customWidth="1"/>
    <col min="7" max="7" width="75.85546875" customWidth="1"/>
  </cols>
  <sheetData>
    <row r="1" spans="1:8" s="2" customFormat="1" ht="35.25" customHeight="1">
      <c r="A1" s="2" t="s">
        <v>16</v>
      </c>
    </row>
    <row r="2" spans="1:8" s="3" customFormat="1"/>
    <row r="3" spans="1:8" s="3" customFormat="1">
      <c r="B3" s="5" t="s">
        <v>17</v>
      </c>
    </row>
    <row r="4" spans="1:8" s="3" customFormat="1">
      <c r="C4" s="98"/>
    </row>
    <row r="5" spans="1:8" s="3" customFormat="1">
      <c r="B5" s="5" t="s">
        <v>24</v>
      </c>
      <c r="C5" s="5" t="s">
        <v>148</v>
      </c>
      <c r="E5" s="5" t="s">
        <v>149</v>
      </c>
      <c r="G5" s="29" t="s">
        <v>29</v>
      </c>
      <c r="H5" s="29" t="s">
        <v>174</v>
      </c>
    </row>
    <row r="6" spans="1:8" s="3" customFormat="1">
      <c r="B6" s="9" t="s">
        <v>166</v>
      </c>
      <c r="C6" s="99" t="s">
        <v>154</v>
      </c>
      <c r="E6" s="3" t="s">
        <v>150</v>
      </c>
      <c r="G6" s="99" t="s">
        <v>170</v>
      </c>
    </row>
    <row r="7" spans="1:8" s="3" customFormat="1">
      <c r="B7" s="50">
        <v>3.2</v>
      </c>
      <c r="C7" s="49">
        <v>133</v>
      </c>
      <c r="E7" s="3" t="s">
        <v>152</v>
      </c>
      <c r="G7" s="3" t="s">
        <v>168</v>
      </c>
      <c r="H7" s="3" t="s">
        <v>175</v>
      </c>
    </row>
    <row r="8" spans="1:8" s="3" customFormat="1">
      <c r="B8" s="50">
        <v>7.7</v>
      </c>
      <c r="C8" s="49">
        <v>893</v>
      </c>
      <c r="E8" s="4" t="s">
        <v>153</v>
      </c>
      <c r="G8" s="3" t="s">
        <v>167</v>
      </c>
    </row>
    <row r="9" spans="1:8" s="3" customFormat="1">
      <c r="B9" s="50">
        <v>13.3</v>
      </c>
      <c r="C9" s="49">
        <v>153</v>
      </c>
      <c r="E9" s="4" t="s">
        <v>153</v>
      </c>
    </row>
    <row r="10" spans="1:8" s="3" customFormat="1">
      <c r="B10" s="50">
        <v>18.3</v>
      </c>
      <c r="C10" s="49">
        <v>17</v>
      </c>
      <c r="E10" s="4" t="s">
        <v>153</v>
      </c>
    </row>
    <row r="11" spans="1:8" s="3" customFormat="1">
      <c r="B11" s="50">
        <v>23.3</v>
      </c>
      <c r="C11" s="49">
        <v>30</v>
      </c>
      <c r="E11" s="4" t="s">
        <v>153</v>
      </c>
    </row>
    <row r="12" spans="1:8" s="3" customFormat="1">
      <c r="B12" s="50">
        <v>28.3</v>
      </c>
      <c r="C12" s="49">
        <v>13</v>
      </c>
      <c r="E12" s="4" t="s">
        <v>153</v>
      </c>
    </row>
    <row r="13" spans="1:8" s="3" customFormat="1">
      <c r="B13" s="50">
        <v>38.299999999999997</v>
      </c>
      <c r="C13" s="49">
        <v>21</v>
      </c>
      <c r="E13" s="4" t="s">
        <v>153</v>
      </c>
    </row>
    <row r="14" spans="1:8" s="3" customFormat="1">
      <c r="B14" s="50">
        <v>48.3</v>
      </c>
      <c r="C14" s="49">
        <v>3</v>
      </c>
      <c r="E14" s="4" t="s">
        <v>151</v>
      </c>
    </row>
    <row r="15" spans="1:8" s="3" customFormat="1">
      <c r="B15" s="50">
        <v>78.3</v>
      </c>
      <c r="C15" s="49">
        <v>1</v>
      </c>
      <c r="E15" s="4" t="s">
        <v>151</v>
      </c>
    </row>
    <row r="16" spans="1:8" s="3" customFormat="1">
      <c r="B16" s="50">
        <v>93.3</v>
      </c>
      <c r="C16" s="49">
        <v>2</v>
      </c>
      <c r="E16" s="4" t="s">
        <v>151</v>
      </c>
    </row>
    <row r="17" spans="2:5" s="3" customFormat="1">
      <c r="B17" s="50">
        <v>98.3</v>
      </c>
      <c r="C17" s="49">
        <v>1</v>
      </c>
      <c r="E17" s="4" t="s">
        <v>151</v>
      </c>
    </row>
    <row r="18" spans="2:5" s="3" customFormat="1">
      <c r="B18" s="50">
        <v>100</v>
      </c>
      <c r="C18" s="49">
        <v>1</v>
      </c>
      <c r="E18" s="4" t="s">
        <v>151</v>
      </c>
    </row>
    <row r="19" spans="2:5" s="3" customFormat="1">
      <c r="B19" s="50">
        <v>125</v>
      </c>
      <c r="C19" s="49">
        <v>2</v>
      </c>
      <c r="E19" s="4" t="s">
        <v>151</v>
      </c>
    </row>
    <row r="20" spans="2:5" s="3" customFormat="1">
      <c r="B20" s="50">
        <v>350</v>
      </c>
      <c r="C20" s="49">
        <v>1</v>
      </c>
      <c r="E20" s="4" t="s">
        <v>151</v>
      </c>
    </row>
    <row r="21" spans="2:5" s="3" customFormat="1">
      <c r="B21" s="5" t="s">
        <v>0</v>
      </c>
      <c r="C21" s="51">
        <f>SUM(C7:C20)</f>
        <v>1271</v>
      </c>
    </row>
    <row r="22" spans="2:5" s="3" customFormat="1"/>
    <row r="23" spans="2:5" s="3" customFormat="1">
      <c r="B23" s="3" t="s">
        <v>169</v>
      </c>
      <c r="C23" s="18">
        <f>SUMPRODUCT(B7:B20,C7:C20)</f>
        <v>12726.999999999998</v>
      </c>
    </row>
    <row r="24" spans="2:5" s="3" customFormat="1"/>
    <row r="27" spans="2:5">
      <c r="B27" s="28" t="s">
        <v>82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CCFFCC"/>
  </sheetPr>
  <dimension ref="A1:K64"/>
  <sheetViews>
    <sheetView showGridLines="0" zoomScale="85" zoomScaleNormal="85" workbookViewId="0"/>
  </sheetViews>
  <sheetFormatPr defaultRowHeight="15"/>
  <cols>
    <col min="1" max="1" width="9.140625" style="8"/>
    <col min="2" max="2" width="78.7109375" style="8" customWidth="1"/>
    <col min="3" max="3" width="19.5703125" style="8" customWidth="1"/>
    <col min="4" max="4" width="17.7109375" style="8" customWidth="1"/>
    <col min="5" max="6" width="22.140625" style="8" customWidth="1"/>
    <col min="7" max="8" width="20" style="8" customWidth="1"/>
    <col min="9" max="9" width="11.85546875" style="8" customWidth="1"/>
    <col min="10" max="10" width="10.42578125" style="8" customWidth="1"/>
    <col min="11" max="11" width="46.5703125" style="8" customWidth="1"/>
    <col min="12" max="16384" width="9.140625" style="8"/>
  </cols>
  <sheetData>
    <row r="1" spans="1:11" s="2" customFormat="1" ht="35.25" customHeight="1">
      <c r="A1" s="2" t="s">
        <v>155</v>
      </c>
    </row>
    <row r="2" spans="1:11">
      <c r="B2" s="7"/>
    </row>
    <row r="3" spans="1:11" s="2" customFormat="1" ht="18" customHeight="1">
      <c r="B3" s="10" t="s">
        <v>127</v>
      </c>
    </row>
    <row r="4" spans="1:11">
      <c r="B4" s="7"/>
    </row>
    <row r="5" spans="1:11">
      <c r="B5" s="8" t="s">
        <v>128</v>
      </c>
    </row>
    <row r="7" spans="1:11">
      <c r="B7" s="7" t="s">
        <v>129</v>
      </c>
      <c r="C7" s="7"/>
      <c r="D7" s="7"/>
      <c r="E7" s="7" t="s">
        <v>133</v>
      </c>
      <c r="F7" s="7" t="s">
        <v>130</v>
      </c>
      <c r="H7" s="7" t="s">
        <v>29</v>
      </c>
    </row>
    <row r="8" spans="1:11">
      <c r="B8" s="8" t="s">
        <v>68</v>
      </c>
      <c r="E8" s="23">
        <v>0.52557712612614482</v>
      </c>
      <c r="F8" s="23">
        <f>1-E8</f>
        <v>0.47442287387385518</v>
      </c>
      <c r="H8" s="8" t="s">
        <v>134</v>
      </c>
    </row>
    <row r="9" spans="1:11">
      <c r="B9" s="7"/>
    </row>
    <row r="10" spans="1:11" s="2" customFormat="1" ht="18" customHeight="1">
      <c r="B10" s="10" t="s">
        <v>9</v>
      </c>
    </row>
    <row r="11" spans="1:11" s="9" customFormat="1">
      <c r="B11" s="13"/>
      <c r="F11" s="24"/>
      <c r="G11" s="24"/>
      <c r="H11" s="24"/>
    </row>
    <row r="12" spans="1:11" s="9" customFormat="1">
      <c r="B12" s="9" t="s">
        <v>156</v>
      </c>
      <c r="C12" s="5"/>
      <c r="D12" s="5"/>
      <c r="E12" s="5"/>
      <c r="F12" s="5"/>
    </row>
    <row r="13" spans="1:11" s="9" customFormat="1">
      <c r="C13" s="5"/>
      <c r="D13" s="5"/>
      <c r="E13" s="5"/>
      <c r="F13" s="5"/>
    </row>
    <row r="14" spans="1:11" s="9" customFormat="1">
      <c r="B14" s="26" t="s">
        <v>73</v>
      </c>
      <c r="E14" s="7" t="s">
        <v>132</v>
      </c>
      <c r="F14" s="5"/>
      <c r="G14" s="24"/>
      <c r="H14" s="38" t="s">
        <v>29</v>
      </c>
    </row>
    <row r="15" spans="1:11" s="9" customFormat="1">
      <c r="B15" s="25" t="s">
        <v>69</v>
      </c>
      <c r="C15" s="9" t="s">
        <v>81</v>
      </c>
      <c r="E15" s="27">
        <v>4564551.8810105976</v>
      </c>
      <c r="F15" s="5"/>
      <c r="G15" s="24"/>
      <c r="H15" s="9" t="s">
        <v>171</v>
      </c>
      <c r="K15" s="68" t="s">
        <v>172</v>
      </c>
    </row>
    <row r="16" spans="1:11" s="9" customFormat="1">
      <c r="B16" s="25" t="s">
        <v>8</v>
      </c>
      <c r="C16" s="9" t="s">
        <v>81</v>
      </c>
      <c r="E16" s="27">
        <v>260432.89016613548</v>
      </c>
      <c r="F16" s="5"/>
      <c r="G16" s="24"/>
      <c r="H16" s="9" t="s">
        <v>171</v>
      </c>
      <c r="K16" s="68" t="s">
        <v>172</v>
      </c>
    </row>
    <row r="17" spans="2:8" s="9" customFormat="1">
      <c r="F17" s="74"/>
      <c r="G17" s="24"/>
      <c r="H17" s="31"/>
    </row>
    <row r="18" spans="2:8" s="9" customFormat="1">
      <c r="B18" s="5"/>
    </row>
    <row r="19" spans="2:8" s="2" customFormat="1" ht="18" customHeight="1">
      <c r="B19" s="10" t="s">
        <v>22</v>
      </c>
    </row>
    <row r="20" spans="2:8" s="9" customFormat="1">
      <c r="C20" s="5"/>
      <c r="D20" s="5"/>
      <c r="E20" s="5"/>
      <c r="F20" s="5"/>
    </row>
    <row r="21" spans="2:8" s="9" customFormat="1">
      <c r="B21" s="9" t="s">
        <v>28</v>
      </c>
      <c r="C21" s="5"/>
      <c r="D21" s="5"/>
      <c r="E21" s="5"/>
      <c r="F21" s="5"/>
    </row>
    <row r="22" spans="2:8" s="9" customFormat="1">
      <c r="C22" s="5"/>
      <c r="D22" s="5"/>
      <c r="E22" s="5"/>
      <c r="F22" s="5"/>
    </row>
    <row r="23" spans="2:8" s="9" customFormat="1">
      <c r="B23" s="5" t="s">
        <v>70</v>
      </c>
      <c r="C23" s="5"/>
      <c r="D23" s="5"/>
      <c r="E23" s="7" t="s">
        <v>135</v>
      </c>
      <c r="F23" s="5" t="s">
        <v>67</v>
      </c>
    </row>
    <row r="24" spans="2:8" s="9" customFormat="1">
      <c r="B24" s="8" t="s">
        <v>71</v>
      </c>
      <c r="C24" s="9" t="s">
        <v>81</v>
      </c>
      <c r="D24" s="5"/>
      <c r="E24" s="42">
        <v>638818.94142978627</v>
      </c>
      <c r="F24" s="42">
        <v>683524.15876975202</v>
      </c>
      <c r="H24" s="41" t="s">
        <v>79</v>
      </c>
    </row>
    <row r="25" spans="2:8" s="9" customFormat="1">
      <c r="C25" s="5"/>
      <c r="D25" s="5"/>
      <c r="E25" s="5"/>
      <c r="F25" s="5"/>
    </row>
    <row r="26" spans="2:8" s="9" customFormat="1">
      <c r="B26" s="5" t="s">
        <v>72</v>
      </c>
      <c r="E26" s="7" t="s">
        <v>132</v>
      </c>
      <c r="F26" s="5"/>
    </row>
    <row r="27" spans="2:8" s="9" customFormat="1">
      <c r="B27" s="8" t="s">
        <v>71</v>
      </c>
      <c r="C27" s="9" t="s">
        <v>81</v>
      </c>
      <c r="E27" s="40">
        <f>E24+E8*$F24</f>
        <v>998063.60443378333</v>
      </c>
      <c r="F27" s="5"/>
    </row>
    <row r="28" spans="2:8" s="9" customFormat="1">
      <c r="C28" s="5"/>
      <c r="D28" s="5"/>
      <c r="E28" s="5"/>
      <c r="F28" s="5"/>
    </row>
    <row r="29" spans="2:8" s="9" customFormat="1">
      <c r="C29" s="43"/>
      <c r="D29" s="43"/>
      <c r="E29" s="43"/>
      <c r="F29" s="43"/>
    </row>
    <row r="30" spans="2:8" s="2" customFormat="1" ht="18" customHeight="1">
      <c r="B30" s="10" t="s">
        <v>76</v>
      </c>
    </row>
    <row r="31" spans="2:8" s="9" customFormat="1">
      <c r="C31" s="5"/>
      <c r="D31" s="5"/>
      <c r="E31" s="5"/>
      <c r="F31" s="5"/>
    </row>
    <row r="32" spans="2:8" s="9" customFormat="1">
      <c r="B32" s="9" t="s">
        <v>131</v>
      </c>
      <c r="C32" s="5"/>
      <c r="D32" s="5"/>
      <c r="E32" s="5"/>
      <c r="F32" s="5"/>
    </row>
    <row r="33" spans="1:9" s="9" customFormat="1">
      <c r="C33" s="5"/>
      <c r="D33" s="5"/>
      <c r="E33" s="5"/>
      <c r="F33" s="5"/>
    </row>
    <row r="34" spans="1:9" s="9" customFormat="1">
      <c r="B34" s="5" t="s">
        <v>77</v>
      </c>
      <c r="C34" s="5"/>
      <c r="D34" s="5"/>
      <c r="E34" s="5" t="s">
        <v>173</v>
      </c>
      <c r="F34" s="5" t="s">
        <v>67</v>
      </c>
    </row>
    <row r="35" spans="1:9" s="9" customFormat="1">
      <c r="B35" s="8" t="s">
        <v>157</v>
      </c>
      <c r="C35" s="9" t="s">
        <v>81</v>
      </c>
      <c r="D35" s="5"/>
      <c r="E35" s="42">
        <v>40067</v>
      </c>
      <c r="F35" s="42">
        <v>32645</v>
      </c>
      <c r="H35" s="41" t="s">
        <v>143</v>
      </c>
    </row>
    <row r="36" spans="1:9" s="9" customFormat="1">
      <c r="E36" s="74"/>
    </row>
    <row r="37" spans="1:9" s="9" customFormat="1">
      <c r="B37" s="5" t="s">
        <v>78</v>
      </c>
      <c r="E37" s="7" t="s">
        <v>132</v>
      </c>
      <c r="F37" s="5"/>
    </row>
    <row r="38" spans="1:9" s="9" customFormat="1">
      <c r="B38" s="8" t="s">
        <v>157</v>
      </c>
      <c r="C38" s="9" t="s">
        <v>81</v>
      </c>
      <c r="E38" s="40">
        <f>E35+E8*$F35</f>
        <v>57224.465282388002</v>
      </c>
      <c r="F38" s="5"/>
    </row>
    <row r="39" spans="1:9" s="9" customFormat="1">
      <c r="C39" s="5"/>
      <c r="D39" s="5"/>
      <c r="E39" s="5"/>
      <c r="F39" s="5"/>
    </row>
    <row r="40" spans="1:9" s="9" customFormat="1">
      <c r="C40" s="43"/>
      <c r="D40" s="43"/>
      <c r="E40" s="43"/>
      <c r="F40" s="43"/>
      <c r="G40" s="43"/>
    </row>
    <row r="41" spans="1:9" s="44" customFormat="1" ht="18" customHeight="1">
      <c r="B41" s="10" t="s">
        <v>75</v>
      </c>
    </row>
    <row r="42" spans="1:9" s="45" customFormat="1"/>
    <row r="43" spans="1:9" s="45" customFormat="1">
      <c r="A43" s="30"/>
      <c r="B43" s="46" t="s">
        <v>144</v>
      </c>
      <c r="I43" s="11"/>
    </row>
    <row r="44" spans="1:9" s="45" customFormat="1">
      <c r="A44" s="30"/>
      <c r="B44" s="46" t="s">
        <v>145</v>
      </c>
    </row>
    <row r="45" spans="1:9" s="45" customFormat="1">
      <c r="A45" s="30"/>
      <c r="B45" s="46" t="s">
        <v>159</v>
      </c>
    </row>
    <row r="46" spans="1:9" s="45" customFormat="1">
      <c r="A46" s="30"/>
      <c r="B46" s="46" t="s">
        <v>213</v>
      </c>
      <c r="I46" s="11"/>
    </row>
    <row r="47" spans="1:9" s="45" customFormat="1">
      <c r="A47" s="30"/>
      <c r="B47" s="46"/>
    </row>
    <row r="48" spans="1:9" s="45" customFormat="1">
      <c r="A48" s="30"/>
      <c r="B48" s="45" t="s">
        <v>137</v>
      </c>
      <c r="E48" s="45" t="s">
        <v>11</v>
      </c>
      <c r="G48" s="7" t="s">
        <v>29</v>
      </c>
    </row>
    <row r="49" spans="1:7" s="45" customFormat="1">
      <c r="A49" s="30"/>
      <c r="B49" s="46" t="s">
        <v>138</v>
      </c>
      <c r="C49" s="45" t="s">
        <v>56</v>
      </c>
      <c r="E49" s="47">
        <f>204+129</f>
        <v>333</v>
      </c>
      <c r="G49" s="46" t="s">
        <v>177</v>
      </c>
    </row>
    <row r="50" spans="1:7" s="45" customFormat="1">
      <c r="A50" s="30"/>
      <c r="B50" s="46" t="s">
        <v>74</v>
      </c>
      <c r="C50" s="9" t="s">
        <v>81</v>
      </c>
      <c r="E50" s="113">
        <f>'Calculation tariffs 2017'!D47/(1+'CPI CN'!F31)/(1+'CPI CN'!F32)</f>
        <v>40.080481607066993</v>
      </c>
      <c r="G50" s="46" t="s">
        <v>158</v>
      </c>
    </row>
    <row r="51" spans="1:7" s="45" customFormat="1">
      <c r="A51" s="30"/>
      <c r="B51" s="46" t="s">
        <v>139</v>
      </c>
      <c r="C51" s="9" t="s">
        <v>81</v>
      </c>
      <c r="E51" s="96">
        <f>E49*E50</f>
        <v>13346.800375153309</v>
      </c>
      <c r="G51" s="46"/>
    </row>
    <row r="52" spans="1:7" s="45" customFormat="1">
      <c r="A52" s="30"/>
      <c r="B52" s="46"/>
    </row>
    <row r="53" spans="1:7" s="45" customFormat="1">
      <c r="A53" s="30"/>
      <c r="B53" s="45" t="s">
        <v>140</v>
      </c>
      <c r="E53" s="45" t="s">
        <v>11</v>
      </c>
      <c r="G53" s="7" t="s">
        <v>29</v>
      </c>
    </row>
    <row r="54" spans="1:7" s="45" customFormat="1">
      <c r="A54" s="30"/>
      <c r="B54" s="46" t="s">
        <v>179</v>
      </c>
      <c r="C54" s="9" t="s">
        <v>81</v>
      </c>
      <c r="E54" s="97">
        <v>19242</v>
      </c>
      <c r="G54" s="46" t="s">
        <v>178</v>
      </c>
    </row>
    <row r="55" spans="1:7" s="45" customFormat="1">
      <c r="A55" s="30"/>
      <c r="B55" s="46" t="s">
        <v>141</v>
      </c>
      <c r="C55" s="45" t="s">
        <v>56</v>
      </c>
      <c r="E55" s="47">
        <v>10</v>
      </c>
      <c r="G55" s="46" t="s">
        <v>176</v>
      </c>
    </row>
    <row r="56" spans="1:7" s="45" customFormat="1">
      <c r="A56" s="30"/>
      <c r="B56" s="46" t="s">
        <v>180</v>
      </c>
      <c r="C56" s="9" t="s">
        <v>81</v>
      </c>
      <c r="E56" s="47">
        <v>220</v>
      </c>
      <c r="G56" s="46" t="s">
        <v>214</v>
      </c>
    </row>
    <row r="57" spans="1:7" s="45" customFormat="1">
      <c r="A57" s="30"/>
      <c r="B57" s="46" t="s">
        <v>142</v>
      </c>
      <c r="C57" s="9" t="s">
        <v>81</v>
      </c>
      <c r="E57" s="48">
        <f>(('Tariff categories'!C7*'Calculation tariffs 2017'!D50+'Tariff categories'!C8*'Calculation tariffs 2017'!D51)/('Tariff categories'!C7+'Tariff categories'!C8)+20*'Calculation tariffs 2017'!D52)/(1+'CPI CN'!F31)/(1+'CPI CN'!F32)</f>
        <v>1881.0363803109235</v>
      </c>
      <c r="G57" s="46" t="s">
        <v>206</v>
      </c>
    </row>
    <row r="58" spans="1:7" s="45" customFormat="1">
      <c r="A58" s="30"/>
      <c r="B58" s="46" t="s">
        <v>181</v>
      </c>
      <c r="C58" s="9" t="s">
        <v>81</v>
      </c>
      <c r="E58" s="48">
        <f>E55*(E57-E56)</f>
        <v>16610.363803109234</v>
      </c>
      <c r="G58" s="46" t="s">
        <v>182</v>
      </c>
    </row>
    <row r="59" spans="1:7" s="30" customFormat="1">
      <c r="B59" s="46" t="s">
        <v>185</v>
      </c>
      <c r="C59" s="9" t="s">
        <v>81</v>
      </c>
      <c r="E59" s="66">
        <f>E54+E58</f>
        <v>35852.363803109234</v>
      </c>
    </row>
    <row r="60" spans="1:7" s="30" customFormat="1" ht="12.75"/>
    <row r="61" spans="1:7" s="30" customFormat="1" ht="12.75"/>
    <row r="64" spans="1:7">
      <c r="B64" s="28" t="s">
        <v>82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7">
    <tabColor rgb="FFCCFFCC"/>
  </sheetPr>
  <dimension ref="B2:F32"/>
  <sheetViews>
    <sheetView showGridLines="0" zoomScale="85" zoomScaleNormal="85" workbookViewId="0"/>
  </sheetViews>
  <sheetFormatPr defaultRowHeight="15"/>
  <cols>
    <col min="1" max="1" width="6.140625" style="6" customWidth="1"/>
    <col min="2" max="2" width="45" style="6" customWidth="1"/>
    <col min="3" max="3" width="9.140625" style="6"/>
    <col min="4" max="6" width="17.7109375" style="6" customWidth="1"/>
    <col min="7" max="16384" width="9.140625" style="6"/>
  </cols>
  <sheetData>
    <row r="2" spans="2:6" s="2" customFormat="1" ht="26.25">
      <c r="B2" s="2" t="s">
        <v>104</v>
      </c>
    </row>
    <row r="4" spans="2:6">
      <c r="B4" s="6" t="s">
        <v>105</v>
      </c>
    </row>
    <row r="5" spans="2:6">
      <c r="B5" s="6" t="s">
        <v>106</v>
      </c>
    </row>
    <row r="6" spans="2:6">
      <c r="B6" s="6" t="s">
        <v>107</v>
      </c>
    </row>
    <row r="7" spans="2:6">
      <c r="B7" s="6" t="s">
        <v>108</v>
      </c>
    </row>
    <row r="8" spans="2:6">
      <c r="B8" s="6" t="s">
        <v>109</v>
      </c>
    </row>
    <row r="10" spans="2:6">
      <c r="B10" s="28" t="s">
        <v>110</v>
      </c>
    </row>
    <row r="12" spans="2:6" s="52" customFormat="1" ht="12.75">
      <c r="B12" s="52" t="s">
        <v>111</v>
      </c>
    </row>
    <row r="14" spans="2:6">
      <c r="B14" s="6" t="s">
        <v>112</v>
      </c>
    </row>
    <row r="15" spans="2:6">
      <c r="B15" s="6" t="s">
        <v>113</v>
      </c>
    </row>
    <row r="16" spans="2:6">
      <c r="D16" s="6" t="s">
        <v>114</v>
      </c>
      <c r="E16" s="6" t="s">
        <v>115</v>
      </c>
      <c r="F16" s="6" t="s">
        <v>116</v>
      </c>
    </row>
    <row r="17" spans="2:6">
      <c r="B17" s="6" t="s">
        <v>117</v>
      </c>
      <c r="C17" s="6" t="s">
        <v>118</v>
      </c>
      <c r="D17" s="71">
        <v>112.08</v>
      </c>
      <c r="E17" s="71">
        <v>122.09</v>
      </c>
      <c r="F17" s="71">
        <v>114.72</v>
      </c>
    </row>
    <row r="18" spans="2:6">
      <c r="B18" s="6" t="s">
        <v>119</v>
      </c>
      <c r="C18" s="6" t="s">
        <v>118</v>
      </c>
      <c r="D18" s="71">
        <v>111.04</v>
      </c>
      <c r="E18" s="71">
        <v>121.51</v>
      </c>
      <c r="F18" s="71">
        <v>114.24</v>
      </c>
    </row>
    <row r="19" spans="2:6">
      <c r="B19" s="6" t="s">
        <v>120</v>
      </c>
      <c r="C19" s="6" t="s">
        <v>118</v>
      </c>
      <c r="D19" s="71">
        <v>111.75</v>
      </c>
      <c r="E19" s="89">
        <v>120.4</v>
      </c>
      <c r="F19" s="89">
        <v>114.46</v>
      </c>
    </row>
    <row r="21" spans="2:6">
      <c r="B21" s="6" t="s">
        <v>121</v>
      </c>
    </row>
    <row r="22" spans="2:6">
      <c r="B22" s="90" t="s">
        <v>122</v>
      </c>
    </row>
    <row r="24" spans="2:6" s="52" customFormat="1" ht="12.75">
      <c r="B24" s="52" t="s">
        <v>123</v>
      </c>
    </row>
    <row r="26" spans="2:6">
      <c r="B26" s="6" t="s">
        <v>124</v>
      </c>
      <c r="C26" s="6" t="s">
        <v>2</v>
      </c>
      <c r="D26" s="91">
        <f t="shared" ref="D26:F27" si="0">D18/D17-1</f>
        <v>-9.2790863668806844E-3</v>
      </c>
      <c r="E26" s="91">
        <f t="shared" si="0"/>
        <v>-4.7505938242280443E-3</v>
      </c>
      <c r="F26" s="91">
        <f t="shared" si="0"/>
        <v>-4.1841004184101083E-3</v>
      </c>
    </row>
    <row r="27" spans="2:6">
      <c r="B27" s="6" t="s">
        <v>125</v>
      </c>
      <c r="C27" s="6" t="s">
        <v>2</v>
      </c>
      <c r="D27" s="91">
        <f t="shared" si="0"/>
        <v>6.3940922190202087E-3</v>
      </c>
      <c r="E27" s="91">
        <f t="shared" si="0"/>
        <v>-9.1350506131182563E-3</v>
      </c>
      <c r="F27" s="91">
        <f t="shared" si="0"/>
        <v>1.9257703081232425E-3</v>
      </c>
    </row>
    <row r="30" spans="2:6">
      <c r="B30" s="6" t="s">
        <v>126</v>
      </c>
    </row>
    <row r="31" spans="2:6">
      <c r="B31" s="6" t="s">
        <v>43</v>
      </c>
      <c r="C31" s="6" t="s">
        <v>2</v>
      </c>
      <c r="D31" s="92">
        <f t="shared" ref="D31:F32" si="1">ROUND(D26,3)</f>
        <v>-8.9999999999999993E-3</v>
      </c>
      <c r="E31" s="92">
        <f t="shared" si="1"/>
        <v>-5.0000000000000001E-3</v>
      </c>
      <c r="F31" s="92">
        <f t="shared" si="1"/>
        <v>-4.0000000000000001E-3</v>
      </c>
    </row>
    <row r="32" spans="2:6">
      <c r="B32" s="6" t="s">
        <v>44</v>
      </c>
      <c r="C32" s="6" t="s">
        <v>2</v>
      </c>
      <c r="D32" s="92">
        <f t="shared" si="1"/>
        <v>6.0000000000000001E-3</v>
      </c>
      <c r="E32" s="92">
        <f t="shared" si="1"/>
        <v>-8.9999999999999993E-3</v>
      </c>
      <c r="F32" s="92">
        <f t="shared" si="1"/>
        <v>2E-3</v>
      </c>
    </row>
  </sheetData>
  <hyperlinks>
    <hyperlink ref="B22" r:id="rId1"/>
  </hyperlinks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>
    <tabColor rgb="FFFFFFCC"/>
  </sheetPr>
  <dimension ref="B1:K54"/>
  <sheetViews>
    <sheetView showGridLines="0" zoomScale="85" zoomScaleNormal="85" workbookViewId="0"/>
  </sheetViews>
  <sheetFormatPr defaultColWidth="8.42578125" defaultRowHeight="15"/>
  <cols>
    <col min="1" max="1" width="2.85546875" style="6" customWidth="1"/>
    <col min="2" max="2" width="71" style="6" customWidth="1"/>
    <col min="3" max="3" width="26.42578125" style="6" customWidth="1"/>
    <col min="4" max="5" width="22.140625" style="6" customWidth="1"/>
    <col min="6" max="6" width="4.28515625" style="6" customWidth="1"/>
    <col min="7" max="7" width="22.140625" style="6" customWidth="1"/>
    <col min="8" max="8" width="7.7109375" style="6" customWidth="1"/>
    <col min="9" max="9" width="22.140625" style="6" customWidth="1"/>
    <col min="10" max="16384" width="8.42578125" style="6"/>
  </cols>
  <sheetData>
    <row r="1" spans="2:9" s="2" customFormat="1" ht="26.25">
      <c r="B1" s="2" t="s">
        <v>30</v>
      </c>
    </row>
    <row r="3" spans="2:9">
      <c r="B3" s="6" t="s">
        <v>62</v>
      </c>
    </row>
    <row r="4" spans="2:9">
      <c r="B4" s="6" t="s">
        <v>63</v>
      </c>
    </row>
    <row r="5" spans="2:9">
      <c r="B5" s="6" t="s">
        <v>64</v>
      </c>
    </row>
    <row r="6" spans="2:9">
      <c r="B6" s="6" t="s">
        <v>65</v>
      </c>
    </row>
    <row r="9" spans="2:9" s="14" customFormat="1" ht="15.75">
      <c r="B9" s="14" t="s">
        <v>31</v>
      </c>
    </row>
    <row r="10" spans="2:9" s="15" customFormat="1" ht="15.75"/>
    <row r="11" spans="2:9">
      <c r="B11" s="3" t="s">
        <v>32</v>
      </c>
      <c r="C11" s="9" t="s">
        <v>2</v>
      </c>
      <c r="D11" s="16">
        <f>Input!E4</f>
        <v>6.5699999999999995E-2</v>
      </c>
      <c r="E11" s="3"/>
    </row>
    <row r="12" spans="2:9">
      <c r="B12" s="6" t="s">
        <v>33</v>
      </c>
      <c r="C12" s="9" t="s">
        <v>2</v>
      </c>
      <c r="D12" s="16">
        <f>Input!E5</f>
        <v>-4.0000000000000001E-3</v>
      </c>
      <c r="E12" s="3"/>
    </row>
    <row r="13" spans="2:9">
      <c r="B13" s="6" t="s">
        <v>34</v>
      </c>
      <c r="C13" s="9" t="s">
        <v>2</v>
      </c>
      <c r="D13" s="16">
        <f>Input!E6</f>
        <v>2E-3</v>
      </c>
      <c r="E13" s="3"/>
    </row>
    <row r="15" spans="2:9" s="14" customFormat="1" ht="15.75">
      <c r="B15" s="14" t="s">
        <v>35</v>
      </c>
    </row>
    <row r="16" spans="2:9">
      <c r="I16" s="1"/>
    </row>
    <row r="17" spans="2:11">
      <c r="B17" s="5" t="s">
        <v>53</v>
      </c>
      <c r="C17" s="5"/>
      <c r="D17" s="5" t="s">
        <v>1</v>
      </c>
      <c r="E17" s="1"/>
    </row>
    <row r="18" spans="2:11">
      <c r="B18" s="9" t="s">
        <v>36</v>
      </c>
      <c r="C18" s="9" t="s">
        <v>39</v>
      </c>
      <c r="D18" s="17">
        <f>Costs!E15</f>
        <v>4564551.8810105976</v>
      </c>
      <c r="E18" s="1"/>
    </row>
    <row r="19" spans="2:11">
      <c r="B19" s="9" t="s">
        <v>37</v>
      </c>
      <c r="C19" s="9" t="s">
        <v>39</v>
      </c>
      <c r="D19" s="17">
        <f>Costs!E16</f>
        <v>260432.89016613548</v>
      </c>
      <c r="E19" s="1"/>
    </row>
    <row r="20" spans="2:11">
      <c r="B20" s="12" t="s">
        <v>38</v>
      </c>
      <c r="C20" s="9" t="s">
        <v>39</v>
      </c>
      <c r="D20" s="18">
        <f>$D11*D18</f>
        <v>299891.05858239625</v>
      </c>
      <c r="E20" s="1"/>
    </row>
    <row r="21" spans="2:11">
      <c r="B21" s="9" t="s">
        <v>3</v>
      </c>
      <c r="C21" s="9" t="s">
        <v>39</v>
      </c>
      <c r="D21" s="19">
        <f>D19+D20</f>
        <v>560323.94874853175</v>
      </c>
      <c r="E21" s="1"/>
    </row>
    <row r="22" spans="2:11">
      <c r="B22" s="9" t="s">
        <v>54</v>
      </c>
      <c r="C22" s="9" t="s">
        <v>39</v>
      </c>
      <c r="D22" s="20">
        <f>Costs!E27</f>
        <v>998063.60443378333</v>
      </c>
      <c r="E22" s="1"/>
    </row>
    <row r="23" spans="2:11">
      <c r="B23" s="9" t="s">
        <v>4</v>
      </c>
      <c r="C23" s="9" t="s">
        <v>39</v>
      </c>
      <c r="D23" s="21">
        <f>D21+D22</f>
        <v>1558387.5531823151</v>
      </c>
      <c r="E23" s="1"/>
    </row>
    <row r="25" spans="2:11">
      <c r="D25" s="70"/>
    </row>
    <row r="26" spans="2:11" s="14" customFormat="1" ht="15.75">
      <c r="B26" s="14" t="s">
        <v>83</v>
      </c>
    </row>
    <row r="27" spans="2:11">
      <c r="I27" s="1"/>
    </row>
    <row r="28" spans="2:11">
      <c r="B28" s="28" t="s">
        <v>136</v>
      </c>
      <c r="D28" s="7"/>
      <c r="E28" s="1"/>
      <c r="F28" s="1"/>
      <c r="G28" s="34"/>
      <c r="H28" s="1"/>
      <c r="I28" s="1"/>
      <c r="J28" s="1"/>
      <c r="K28" s="34"/>
    </row>
    <row r="29" spans="2:11">
      <c r="B29" s="1"/>
      <c r="C29" s="1"/>
      <c r="D29" s="29"/>
      <c r="E29" s="29"/>
      <c r="F29" s="1"/>
      <c r="G29" s="1"/>
    </row>
    <row r="31" spans="2:11" s="14" customFormat="1" ht="15.75">
      <c r="B31" s="14" t="s">
        <v>66</v>
      </c>
    </row>
    <row r="32" spans="2:11">
      <c r="I32" s="1"/>
    </row>
    <row r="33" spans="2:11">
      <c r="B33" s="5" t="s">
        <v>5</v>
      </c>
      <c r="C33" s="5"/>
      <c r="D33" s="5" t="s">
        <v>1</v>
      </c>
      <c r="E33" s="29"/>
      <c r="F33" s="1"/>
      <c r="G33" s="1"/>
    </row>
    <row r="34" spans="2:11">
      <c r="B34" s="9" t="s">
        <v>183</v>
      </c>
      <c r="C34" s="25" t="s">
        <v>39</v>
      </c>
      <c r="D34" s="17">
        <f>Costs!E38</f>
        <v>57224.465282388002</v>
      </c>
      <c r="F34" s="1"/>
      <c r="G34" s="36"/>
    </row>
    <row r="35" spans="2:11">
      <c r="B35" s="46" t="s">
        <v>139</v>
      </c>
      <c r="C35" s="25" t="s">
        <v>39</v>
      </c>
      <c r="D35" s="17">
        <f>Costs!E51</f>
        <v>13346.800375153309</v>
      </c>
      <c r="F35" s="1"/>
      <c r="G35" s="36"/>
    </row>
    <row r="36" spans="2:11">
      <c r="B36" s="46" t="s">
        <v>165</v>
      </c>
      <c r="C36" s="25" t="s">
        <v>39</v>
      </c>
      <c r="D36" s="17">
        <f>Costs!E59</f>
        <v>35852.363803109234</v>
      </c>
      <c r="F36" s="1"/>
      <c r="G36" s="36"/>
    </row>
    <row r="37" spans="2:11">
      <c r="B37" s="12" t="s">
        <v>184</v>
      </c>
      <c r="C37" s="25" t="s">
        <v>39</v>
      </c>
      <c r="D37" s="18">
        <f>SUM(D34:D36)</f>
        <v>106423.62946065055</v>
      </c>
      <c r="E37" s="11"/>
      <c r="F37" s="1"/>
      <c r="G37" s="36"/>
    </row>
    <row r="38" spans="2:11">
      <c r="G38" s="1"/>
      <c r="H38" s="1"/>
      <c r="I38" s="1"/>
      <c r="J38" s="1"/>
      <c r="K38" s="1"/>
    </row>
    <row r="40" spans="2:11" s="14" customFormat="1" ht="15.75">
      <c r="B40" s="14" t="s">
        <v>211</v>
      </c>
    </row>
    <row r="41" spans="2:11">
      <c r="I41" s="1"/>
    </row>
    <row r="42" spans="2:11">
      <c r="B42" s="7" t="s">
        <v>207</v>
      </c>
      <c r="I42" s="1"/>
    </row>
    <row r="43" spans="2:11">
      <c r="B43" s="9" t="s">
        <v>208</v>
      </c>
      <c r="C43" s="25" t="s">
        <v>39</v>
      </c>
      <c r="D43" s="114">
        <f>D23</f>
        <v>1558387.5531823151</v>
      </c>
      <c r="I43" s="1"/>
    </row>
    <row r="44" spans="2:11">
      <c r="B44" s="12" t="s">
        <v>212</v>
      </c>
      <c r="C44" s="25" t="s">
        <v>39</v>
      </c>
      <c r="D44" s="114">
        <f>D37</f>
        <v>106423.62946065055</v>
      </c>
      <c r="I44" s="1"/>
    </row>
    <row r="45" spans="2:11">
      <c r="B45" s="8" t="s">
        <v>209</v>
      </c>
      <c r="C45" s="25" t="s">
        <v>39</v>
      </c>
      <c r="D45" s="115">
        <f>D43-D44</f>
        <v>1451963.9237216646</v>
      </c>
      <c r="I45" s="1"/>
    </row>
    <row r="46" spans="2:11">
      <c r="I46" s="1"/>
    </row>
    <row r="47" spans="2:11">
      <c r="B47" s="7" t="s">
        <v>210</v>
      </c>
      <c r="E47" s="1"/>
    </row>
    <row r="48" spans="2:11">
      <c r="B48" s="6" t="s">
        <v>41</v>
      </c>
      <c r="C48" s="9" t="s">
        <v>40</v>
      </c>
      <c r="D48" s="22">
        <f>D45*(1+D12)*(1+D13)</f>
        <v>1449048.3801628314</v>
      </c>
      <c r="E48" s="1"/>
    </row>
    <row r="49" spans="2:8">
      <c r="E49" s="1"/>
    </row>
    <row r="50" spans="2:8">
      <c r="H50" s="1"/>
    </row>
    <row r="51" spans="2:8">
      <c r="B51" s="7"/>
    </row>
    <row r="54" spans="2:8">
      <c r="B54" s="28" t="s">
        <v>82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CCFFFF"/>
  </sheetPr>
  <dimension ref="A1:P56"/>
  <sheetViews>
    <sheetView showGridLines="0" tabSelected="1" zoomScale="85" zoomScaleNormal="85" workbookViewId="0"/>
  </sheetViews>
  <sheetFormatPr defaultRowHeight="15"/>
  <cols>
    <col min="1" max="1" width="4.28515625" style="8" customWidth="1"/>
    <col min="2" max="2" width="50.140625" style="8" customWidth="1"/>
    <col min="3" max="3" width="29.85546875" style="8" customWidth="1"/>
    <col min="4" max="4" width="28" style="8" customWidth="1"/>
    <col min="5" max="5" width="19.28515625" style="8" customWidth="1"/>
    <col min="6" max="6" width="22.5703125" style="8" customWidth="1"/>
    <col min="7" max="7" width="6.28515625" style="8" customWidth="1"/>
    <col min="8" max="8" width="17.85546875" style="8" customWidth="1"/>
    <col min="9" max="9" width="21.7109375" style="8" bestFit="1" customWidth="1"/>
    <col min="10" max="10" width="18.5703125" style="8" customWidth="1"/>
    <col min="11" max="11" width="16.28515625" style="8" customWidth="1"/>
    <col min="12" max="12" width="15.140625" style="8" customWidth="1"/>
    <col min="13" max="13" width="4.42578125" style="8" customWidth="1"/>
    <col min="14" max="14" width="47.85546875" style="8" bestFit="1" customWidth="1"/>
    <col min="15" max="16384" width="9.140625" style="8"/>
  </cols>
  <sheetData>
    <row r="1" spans="1:9" s="2" customFormat="1" ht="26.25">
      <c r="A1" s="2" t="s">
        <v>160</v>
      </c>
    </row>
    <row r="2" spans="1:9" s="30" customFormat="1" ht="12.75"/>
    <row r="3" spans="1:9" s="30" customFormat="1" ht="12.75"/>
    <row r="4" spans="1:9" s="30" customFormat="1" ht="12.75"/>
    <row r="5" spans="1:9" s="52" customFormat="1">
      <c r="B5" s="94" t="s">
        <v>6</v>
      </c>
      <c r="C5" s="94"/>
    </row>
    <row r="6" spans="1:9" s="53" customFormat="1">
      <c r="B6" s="45"/>
      <c r="C6" s="45"/>
    </row>
    <row r="7" spans="1:9" s="53" customFormat="1">
      <c r="B7" s="46" t="s">
        <v>85</v>
      </c>
      <c r="C7" s="9" t="s">
        <v>163</v>
      </c>
      <c r="D7" s="72">
        <f>Input!E16</f>
        <v>0.29773016808525521</v>
      </c>
      <c r="E7" s="9"/>
    </row>
    <row r="8" spans="1:9" s="53" customFormat="1">
      <c r="B8" s="46" t="s">
        <v>86</v>
      </c>
      <c r="C8" s="9" t="s">
        <v>12</v>
      </c>
      <c r="D8" s="20">
        <f>Input!E8</f>
        <v>9376000</v>
      </c>
      <c r="E8" s="9"/>
    </row>
    <row r="9" spans="1:9" s="53" customFormat="1">
      <c r="B9" s="45"/>
      <c r="C9" s="45"/>
    </row>
    <row r="10" spans="1:9" s="30" customFormat="1">
      <c r="B10" s="8"/>
      <c r="C10" s="8"/>
    </row>
    <row r="11" spans="1:9" s="52" customFormat="1">
      <c r="B11" s="94" t="s">
        <v>7</v>
      </c>
      <c r="C11" s="94"/>
    </row>
    <row r="12" spans="1:9" s="30" customFormat="1">
      <c r="B12" s="8"/>
      <c r="C12" s="8"/>
      <c r="D12" s="61"/>
      <c r="E12" s="8"/>
      <c r="I12" s="56"/>
    </row>
    <row r="13" spans="1:9" s="30" customFormat="1">
      <c r="B13" s="7" t="s">
        <v>27</v>
      </c>
      <c r="C13" s="7"/>
      <c r="D13" s="61"/>
      <c r="E13" s="8"/>
      <c r="I13" s="56"/>
    </row>
    <row r="14" spans="1:9" s="30" customFormat="1">
      <c r="B14" s="8" t="s">
        <v>46</v>
      </c>
      <c r="C14" s="8" t="s">
        <v>2</v>
      </c>
      <c r="D14" s="62">
        <f>Input!E18</f>
        <v>7.1800000000000003E-2</v>
      </c>
      <c r="E14" s="8"/>
      <c r="I14" s="56"/>
    </row>
    <row r="15" spans="1:9" s="30" customFormat="1">
      <c r="B15" s="8" t="s">
        <v>27</v>
      </c>
      <c r="C15" s="9" t="s">
        <v>13</v>
      </c>
      <c r="D15" s="69">
        <f>D7/(1-D14)</f>
        <v>0.32076079302440769</v>
      </c>
      <c r="E15" s="8"/>
      <c r="I15" s="56"/>
    </row>
    <row r="16" spans="1:9" s="53" customFormat="1">
      <c r="E16" s="8"/>
    </row>
    <row r="17" spans="2:13" s="30" customFormat="1">
      <c r="B17" s="5" t="s">
        <v>5</v>
      </c>
      <c r="C17" s="5"/>
      <c r="D17" s="5" t="s">
        <v>11</v>
      </c>
      <c r="E17" s="8"/>
      <c r="F17" s="8"/>
      <c r="G17" s="8"/>
      <c r="H17" s="8"/>
      <c r="I17" s="8"/>
      <c r="J17" s="8"/>
      <c r="K17" s="8"/>
      <c r="L17" s="8"/>
      <c r="M17" s="8"/>
    </row>
    <row r="18" spans="2:13" s="30" customFormat="1">
      <c r="B18" s="9" t="s">
        <v>47</v>
      </c>
      <c r="C18" s="8" t="s">
        <v>162</v>
      </c>
      <c r="D18" s="20">
        <f>'Income level'!D48</f>
        <v>1449048.3801628314</v>
      </c>
      <c r="E18" s="8"/>
      <c r="F18" s="8"/>
      <c r="G18" s="8"/>
      <c r="H18" s="11"/>
      <c r="I18" s="8"/>
      <c r="J18" s="8"/>
      <c r="K18" s="8"/>
      <c r="L18" s="8"/>
      <c r="M18" s="8"/>
    </row>
    <row r="19" spans="2:13" s="30" customFormat="1">
      <c r="B19" s="9" t="s">
        <v>55</v>
      </c>
      <c r="C19" s="8" t="s">
        <v>48</v>
      </c>
      <c r="D19" s="19">
        <f>SUMPRODUCT(B26:B39,C26:C39)</f>
        <v>12726.999999999998</v>
      </c>
      <c r="E19" s="8"/>
      <c r="F19" s="8"/>
      <c r="G19" s="8"/>
      <c r="H19" s="11"/>
      <c r="I19" s="8"/>
      <c r="J19" s="8"/>
      <c r="K19" s="8"/>
      <c r="L19" s="8"/>
      <c r="M19" s="8"/>
    </row>
    <row r="20" spans="2:13" s="30" customFormat="1">
      <c r="B20" s="9" t="s">
        <v>49</v>
      </c>
      <c r="C20" s="8" t="s">
        <v>57</v>
      </c>
      <c r="D20" s="63">
        <f>D18/D19</f>
        <v>113.85624107510266</v>
      </c>
      <c r="E20" s="8"/>
      <c r="F20" s="8"/>
      <c r="G20" s="8"/>
      <c r="H20" s="8"/>
      <c r="I20" s="8"/>
      <c r="J20" s="8"/>
      <c r="K20" s="8"/>
      <c r="L20" s="8"/>
      <c r="M20" s="8"/>
    </row>
    <row r="21" spans="2:13" s="30" customFormat="1">
      <c r="B21" s="9" t="s">
        <v>51</v>
      </c>
      <c r="C21" s="8" t="s">
        <v>162</v>
      </c>
      <c r="D21" s="101">
        <f>Input!E23</f>
        <v>591916</v>
      </c>
      <c r="E21" s="8"/>
      <c r="F21" s="8"/>
      <c r="G21" s="8"/>
      <c r="H21" s="8"/>
      <c r="I21" s="8"/>
      <c r="J21" s="8"/>
      <c r="K21" s="8"/>
      <c r="L21" s="8"/>
      <c r="M21" s="8"/>
    </row>
    <row r="22" spans="2:13" s="30" customFormat="1">
      <c r="B22" s="9" t="s">
        <v>52</v>
      </c>
      <c r="C22" s="8" t="s">
        <v>50</v>
      </c>
      <c r="D22" s="63">
        <f>D21/D19</f>
        <v>46.508682328907057</v>
      </c>
      <c r="E22" s="8"/>
      <c r="F22" s="8"/>
      <c r="G22" s="8"/>
      <c r="H22" s="8"/>
      <c r="I22" s="8"/>
      <c r="J22" s="8"/>
      <c r="K22" s="8"/>
      <c r="L22" s="8"/>
    </row>
    <row r="23" spans="2:13" s="30" customFormat="1">
      <c r="B23" s="5"/>
      <c r="C23" s="5"/>
      <c r="D23" s="9"/>
      <c r="E23" s="9"/>
      <c r="F23" s="9"/>
      <c r="G23" s="9"/>
      <c r="H23" s="9"/>
      <c r="I23" s="9"/>
      <c r="J23" s="8"/>
      <c r="K23" s="8"/>
      <c r="L23" s="8"/>
    </row>
    <row r="24" spans="2:13" s="30" customFormat="1">
      <c r="B24" s="5" t="s">
        <v>24</v>
      </c>
      <c r="C24" s="5" t="s">
        <v>148</v>
      </c>
      <c r="D24" s="5" t="s">
        <v>164</v>
      </c>
      <c r="E24" s="5" t="s">
        <v>161</v>
      </c>
      <c r="F24" s="5" t="s">
        <v>21</v>
      </c>
      <c r="G24" s="8"/>
      <c r="H24" s="7" t="s">
        <v>58</v>
      </c>
      <c r="I24" s="7" t="s">
        <v>59</v>
      </c>
      <c r="L24" s="8"/>
    </row>
    <row r="25" spans="2:13" s="30" customFormat="1">
      <c r="B25" s="9" t="s">
        <v>23</v>
      </c>
      <c r="C25" s="99" t="s">
        <v>154</v>
      </c>
      <c r="D25" s="9" t="s">
        <v>20</v>
      </c>
      <c r="E25" s="9" t="s">
        <v>20</v>
      </c>
      <c r="F25" s="9" t="s">
        <v>20</v>
      </c>
      <c r="G25" s="8"/>
      <c r="H25" s="8" t="s">
        <v>60</v>
      </c>
      <c r="I25" s="8" t="s">
        <v>61</v>
      </c>
      <c r="L25" s="8"/>
    </row>
    <row r="26" spans="2:13" s="30" customFormat="1">
      <c r="B26" s="32">
        <f>'Tariff categories'!B7</f>
        <v>3.2</v>
      </c>
      <c r="C26" s="20">
        <f>'Tariff categories'!C7</f>
        <v>133</v>
      </c>
      <c r="D26" s="64">
        <f t="shared" ref="D26:D39" si="0">B26*$D$20/12</f>
        <v>30.361664286694047</v>
      </c>
      <c r="E26" s="107">
        <f>Input!E21</f>
        <v>27.338618265459406</v>
      </c>
      <c r="F26" s="65">
        <f t="shared" ref="F26:F39" si="1">D26-E26</f>
        <v>3.0230460212346415</v>
      </c>
      <c r="G26" s="8"/>
      <c r="H26" s="39">
        <f t="shared" ref="H26:H39" si="2">D26*C26*12</f>
        <v>48457.2162015637</v>
      </c>
      <c r="I26" s="39">
        <f t="shared" ref="I26:I39" si="3">E26*C26*12</f>
        <v>43632.434751673216</v>
      </c>
      <c r="L26" s="8"/>
    </row>
    <row r="27" spans="2:13" s="30" customFormat="1">
      <c r="B27" s="32">
        <f>'Tariff categories'!B8</f>
        <v>7.7</v>
      </c>
      <c r="C27" s="20">
        <f>'Tariff categories'!C8</f>
        <v>893</v>
      </c>
      <c r="D27" s="64">
        <f t="shared" si="0"/>
        <v>73.057754689857532</v>
      </c>
      <c r="E27" s="107">
        <f>Input!E22</f>
        <v>51.16498348987021</v>
      </c>
      <c r="F27" s="65">
        <f t="shared" si="1"/>
        <v>21.892771199987322</v>
      </c>
      <c r="G27" s="8"/>
      <c r="H27" s="39">
        <f t="shared" si="2"/>
        <v>782886.89925651322</v>
      </c>
      <c r="I27" s="39">
        <f t="shared" si="3"/>
        <v>548283.96307744912</v>
      </c>
      <c r="L27" s="8"/>
    </row>
    <row r="28" spans="2:13" s="30" customFormat="1">
      <c r="B28" s="32">
        <f>'Tariff categories'!B9</f>
        <v>13.3</v>
      </c>
      <c r="C28" s="20">
        <f>'Tariff categories'!C9</f>
        <v>153</v>
      </c>
      <c r="D28" s="64">
        <f t="shared" si="0"/>
        <v>126.19066719157212</v>
      </c>
      <c r="E28" s="108"/>
      <c r="F28" s="65">
        <f t="shared" si="1"/>
        <v>126.19066719157212</v>
      </c>
      <c r="G28" s="8"/>
      <c r="H28" s="39">
        <f t="shared" si="2"/>
        <v>231686.06496372641</v>
      </c>
      <c r="I28" s="39">
        <f t="shared" si="3"/>
        <v>0</v>
      </c>
      <c r="L28" s="8"/>
    </row>
    <row r="29" spans="2:13" s="30" customFormat="1">
      <c r="B29" s="32">
        <f>'Tariff categories'!B10</f>
        <v>18.3</v>
      </c>
      <c r="C29" s="20">
        <f>'Tariff categories'!C10</f>
        <v>17</v>
      </c>
      <c r="D29" s="64">
        <f t="shared" si="0"/>
        <v>173.63076763953157</v>
      </c>
      <c r="E29" s="108"/>
      <c r="F29" s="65">
        <f t="shared" si="1"/>
        <v>173.63076763953157</v>
      </c>
      <c r="G29" s="8"/>
      <c r="H29" s="39">
        <f t="shared" si="2"/>
        <v>35420.676598464444</v>
      </c>
      <c r="I29" s="39">
        <f t="shared" si="3"/>
        <v>0</v>
      </c>
      <c r="L29" s="8"/>
    </row>
    <row r="30" spans="2:13" s="30" customFormat="1">
      <c r="B30" s="32">
        <f>'Tariff categories'!B11</f>
        <v>23.3</v>
      </c>
      <c r="C30" s="20">
        <f>'Tariff categories'!C11</f>
        <v>30</v>
      </c>
      <c r="D30" s="64">
        <f t="shared" si="0"/>
        <v>221.07086808749102</v>
      </c>
      <c r="E30" s="108"/>
      <c r="F30" s="65">
        <f t="shared" si="1"/>
        <v>221.07086808749102</v>
      </c>
      <c r="G30" s="8"/>
      <c r="H30" s="39">
        <f t="shared" si="2"/>
        <v>79585.512511496767</v>
      </c>
      <c r="I30" s="39">
        <f t="shared" si="3"/>
        <v>0</v>
      </c>
      <c r="L30" s="8"/>
    </row>
    <row r="31" spans="2:13" s="30" customFormat="1">
      <c r="B31" s="32">
        <f>'Tariff categories'!B12</f>
        <v>28.3</v>
      </c>
      <c r="C31" s="20">
        <f>'Tariff categories'!C12</f>
        <v>13</v>
      </c>
      <c r="D31" s="64">
        <f t="shared" si="0"/>
        <v>268.51096853545044</v>
      </c>
      <c r="E31" s="108"/>
      <c r="F31" s="65">
        <f t="shared" si="1"/>
        <v>268.51096853545044</v>
      </c>
      <c r="G31" s="8"/>
      <c r="H31" s="39">
        <f t="shared" si="2"/>
        <v>41887.711091530269</v>
      </c>
      <c r="I31" s="39">
        <f t="shared" si="3"/>
        <v>0</v>
      </c>
      <c r="L31" s="8"/>
    </row>
    <row r="32" spans="2:13" s="30" customFormat="1">
      <c r="B32" s="32">
        <f>'Tariff categories'!B13</f>
        <v>38.299999999999997</v>
      </c>
      <c r="C32" s="20">
        <f>'Tariff categories'!C13</f>
        <v>21</v>
      </c>
      <c r="D32" s="64">
        <f t="shared" si="0"/>
        <v>363.39116943136929</v>
      </c>
      <c r="E32" s="108"/>
      <c r="F32" s="65">
        <f t="shared" si="1"/>
        <v>363.39116943136929</v>
      </c>
      <c r="G32" s="8"/>
      <c r="H32" s="39">
        <f t="shared" si="2"/>
        <v>91574.574696705065</v>
      </c>
      <c r="I32" s="39">
        <f t="shared" si="3"/>
        <v>0</v>
      </c>
      <c r="L32" s="8"/>
    </row>
    <row r="33" spans="2:16" s="30" customFormat="1">
      <c r="B33" s="32">
        <f>'Tariff categories'!B14</f>
        <v>48.3</v>
      </c>
      <c r="C33" s="20">
        <f>'Tariff categories'!C14</f>
        <v>3</v>
      </c>
      <c r="D33" s="64">
        <f t="shared" si="0"/>
        <v>458.2713703272882</v>
      </c>
      <c r="E33" s="108"/>
      <c r="F33" s="65">
        <f t="shared" si="1"/>
        <v>458.2713703272882</v>
      </c>
      <c r="G33" s="8"/>
      <c r="H33" s="39">
        <f t="shared" si="2"/>
        <v>16497.769331782376</v>
      </c>
      <c r="I33" s="39">
        <f t="shared" si="3"/>
        <v>0</v>
      </c>
      <c r="L33" s="8"/>
      <c r="P33" s="58"/>
    </row>
    <row r="34" spans="2:16" s="30" customFormat="1">
      <c r="B34" s="32">
        <f>'Tariff categories'!B15</f>
        <v>78.3</v>
      </c>
      <c r="C34" s="20">
        <f>'Tariff categories'!C15</f>
        <v>1</v>
      </c>
      <c r="D34" s="64">
        <f t="shared" si="0"/>
        <v>742.91197301504474</v>
      </c>
      <c r="E34" s="108"/>
      <c r="F34" s="65">
        <f t="shared" si="1"/>
        <v>742.91197301504474</v>
      </c>
      <c r="G34" s="8"/>
      <c r="H34" s="39">
        <f t="shared" si="2"/>
        <v>8914.9436761805373</v>
      </c>
      <c r="I34" s="39">
        <f t="shared" si="3"/>
        <v>0</v>
      </c>
      <c r="L34" s="8"/>
    </row>
    <row r="35" spans="2:16" s="30" customFormat="1">
      <c r="B35" s="32">
        <f>'Tariff categories'!B16</f>
        <v>93.3</v>
      </c>
      <c r="C35" s="20">
        <f>'Tariff categories'!C16</f>
        <v>2</v>
      </c>
      <c r="D35" s="64">
        <f t="shared" si="0"/>
        <v>885.23227435892306</v>
      </c>
      <c r="E35" s="108"/>
      <c r="F35" s="65">
        <f t="shared" si="1"/>
        <v>885.23227435892306</v>
      </c>
      <c r="G35" s="8"/>
      <c r="H35" s="39">
        <f t="shared" si="2"/>
        <v>21245.574584614154</v>
      </c>
      <c r="I35" s="39">
        <f t="shared" si="3"/>
        <v>0</v>
      </c>
      <c r="L35" s="8"/>
    </row>
    <row r="36" spans="2:16" s="30" customFormat="1">
      <c r="B36" s="32">
        <f>'Tariff categories'!B17</f>
        <v>98.3</v>
      </c>
      <c r="C36" s="20">
        <f>'Tariff categories'!C17</f>
        <v>1</v>
      </c>
      <c r="D36" s="64">
        <f t="shared" si="0"/>
        <v>932.67237480688254</v>
      </c>
      <c r="E36" s="108"/>
      <c r="F36" s="65">
        <f t="shared" si="1"/>
        <v>932.67237480688254</v>
      </c>
      <c r="G36" s="8"/>
      <c r="H36" s="39">
        <f t="shared" si="2"/>
        <v>11192.068497682591</v>
      </c>
      <c r="I36" s="39">
        <f t="shared" si="3"/>
        <v>0</v>
      </c>
      <c r="L36" s="8"/>
    </row>
    <row r="37" spans="2:16" s="30" customFormat="1">
      <c r="B37" s="32">
        <f>'Tariff categories'!B18</f>
        <v>100</v>
      </c>
      <c r="C37" s="20">
        <f>'Tariff categories'!C18</f>
        <v>1</v>
      </c>
      <c r="D37" s="64">
        <f t="shared" si="0"/>
        <v>948.80200895918881</v>
      </c>
      <c r="E37" s="108"/>
      <c r="F37" s="65">
        <f t="shared" si="1"/>
        <v>948.80200895918881</v>
      </c>
      <c r="G37" s="8"/>
      <c r="H37" s="39">
        <f t="shared" si="2"/>
        <v>11385.624107510266</v>
      </c>
      <c r="I37" s="39">
        <f t="shared" si="3"/>
        <v>0</v>
      </c>
      <c r="L37" s="8"/>
      <c r="M37" s="54"/>
      <c r="N37" s="54"/>
      <c r="O37" s="54"/>
    </row>
    <row r="38" spans="2:16" s="30" customFormat="1">
      <c r="B38" s="32">
        <f>'Tariff categories'!B19</f>
        <v>125</v>
      </c>
      <c r="C38" s="20">
        <f>'Tariff categories'!C19</f>
        <v>2</v>
      </c>
      <c r="D38" s="64">
        <f t="shared" si="0"/>
        <v>1186.002511198986</v>
      </c>
      <c r="E38" s="108"/>
      <c r="F38" s="65">
        <f t="shared" si="1"/>
        <v>1186.002511198986</v>
      </c>
      <c r="G38" s="8"/>
      <c r="H38" s="39">
        <f t="shared" si="2"/>
        <v>28464.060268775662</v>
      </c>
      <c r="I38" s="39">
        <f t="shared" si="3"/>
        <v>0</v>
      </c>
      <c r="L38" s="8"/>
      <c r="M38" s="59"/>
      <c r="N38" s="59"/>
      <c r="O38" s="54"/>
    </row>
    <row r="39" spans="2:16" s="30" customFormat="1">
      <c r="B39" s="32">
        <f>'Tariff categories'!B20</f>
        <v>350</v>
      </c>
      <c r="C39" s="20">
        <f>'Tariff categories'!C20</f>
        <v>1</v>
      </c>
      <c r="D39" s="64">
        <f t="shared" si="0"/>
        <v>3320.8070313571607</v>
      </c>
      <c r="E39" s="108"/>
      <c r="F39" s="65">
        <f t="shared" si="1"/>
        <v>3320.8070313571607</v>
      </c>
      <c r="G39" s="8"/>
      <c r="H39" s="39">
        <f t="shared" si="2"/>
        <v>39849.684376285928</v>
      </c>
      <c r="I39" s="39">
        <f t="shared" si="3"/>
        <v>0</v>
      </c>
      <c r="L39" s="8"/>
      <c r="M39" s="59"/>
      <c r="N39" s="59"/>
      <c r="O39" s="54"/>
    </row>
    <row r="40" spans="2:16" s="30" customFormat="1">
      <c r="B40" s="5" t="s">
        <v>0</v>
      </c>
      <c r="C40" s="100">
        <f>SUM(C26:C39)</f>
        <v>1271</v>
      </c>
      <c r="D40" s="29"/>
      <c r="E40" s="9"/>
      <c r="F40" s="12"/>
      <c r="G40" s="37"/>
      <c r="H40" s="66">
        <f>SUM(H26:H39)</f>
        <v>1449048.3801628312</v>
      </c>
      <c r="I40" s="66">
        <f>SUM(I26:I39)</f>
        <v>591916.39782912238</v>
      </c>
      <c r="L40" s="8"/>
    </row>
    <row r="41" spans="2:16" s="30" customFormat="1">
      <c r="B41" s="9"/>
      <c r="C41" s="9"/>
      <c r="D41" s="9"/>
      <c r="E41" s="9"/>
      <c r="F41" s="9"/>
      <c r="G41" s="9"/>
      <c r="H41" s="12"/>
      <c r="I41" s="9"/>
      <c r="J41" s="8"/>
      <c r="K41" s="8"/>
      <c r="L41" s="8"/>
    </row>
    <row r="42" spans="2:16" s="30" customFormat="1">
      <c r="B42" s="5" t="s">
        <v>18</v>
      </c>
      <c r="C42" s="67" t="str">
        <f>IF(ABS(C40/'Tariff categories'!C21)&gt;1.001,"FOUT", "OK")</f>
        <v>OK</v>
      </c>
      <c r="D42" s="5"/>
      <c r="E42" s="5"/>
      <c r="F42" s="67" t="str">
        <f>IF(ABS((SUM(D26:D39)-SUM(E26:E39))/SUM(F26:F39))&gt;1.001,"FOUT", "OK")</f>
        <v>OK</v>
      </c>
      <c r="G42" s="67"/>
      <c r="H42" s="67" t="str">
        <f>IF(ABS(H40/D18)&gt;1.001,"FOUT", "OK")</f>
        <v>OK</v>
      </c>
      <c r="I42" s="67" t="str">
        <f>IF(ABS(I40/D21)&gt;1.001,"SUBSIDIEBEDRAG WIJKT AF VAN BESCHIKBAAR", "OK")</f>
        <v>OK</v>
      </c>
      <c r="J42" s="8"/>
      <c r="K42" s="8"/>
      <c r="L42" s="8"/>
    </row>
    <row r="43" spans="2:16" s="30" customFormat="1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2:16" s="30" customFormat="1" ht="12.75"/>
    <row r="45" spans="2:16" s="60" customFormat="1">
      <c r="B45" s="95" t="s">
        <v>80</v>
      </c>
      <c r="C45" s="95"/>
    </row>
    <row r="46" spans="2:16" s="30" customFormat="1" ht="12.75">
      <c r="H46" s="54"/>
      <c r="I46" s="55"/>
      <c r="J46" s="54"/>
    </row>
    <row r="47" spans="2:16" s="30" customFormat="1">
      <c r="B47" s="9" t="s">
        <v>14</v>
      </c>
      <c r="C47" s="8" t="s">
        <v>162</v>
      </c>
      <c r="D47" s="102">
        <v>40</v>
      </c>
      <c r="F47" s="46" t="s">
        <v>158</v>
      </c>
      <c r="H47" s="54"/>
      <c r="I47" s="55"/>
      <c r="J47" s="54"/>
    </row>
    <row r="48" spans="2:16" s="30" customFormat="1">
      <c r="B48" s="9"/>
      <c r="C48" s="8"/>
      <c r="D48" s="8"/>
      <c r="F48" s="111"/>
      <c r="H48" s="54"/>
      <c r="I48" s="55"/>
      <c r="J48" s="54"/>
    </row>
    <row r="49" spans="2:10" s="30" customFormat="1">
      <c r="B49" s="5" t="s">
        <v>186</v>
      </c>
      <c r="C49" s="8"/>
      <c r="D49" s="8"/>
      <c r="F49" s="111"/>
      <c r="H49" s="54"/>
      <c r="I49" s="55"/>
      <c r="J49" s="54"/>
    </row>
    <row r="50" spans="2:10" s="30" customFormat="1">
      <c r="B50" s="9" t="s">
        <v>202</v>
      </c>
      <c r="C50" s="8" t="s">
        <v>162</v>
      </c>
      <c r="D50" s="102">
        <v>250.8</v>
      </c>
      <c r="E50" s="57"/>
      <c r="F50" s="8" t="s">
        <v>205</v>
      </c>
      <c r="H50" s="54"/>
      <c r="I50" s="109"/>
      <c r="J50" s="54"/>
    </row>
    <row r="51" spans="2:10" s="30" customFormat="1">
      <c r="B51" s="12" t="s">
        <v>203</v>
      </c>
      <c r="C51" s="8" t="s">
        <v>162</v>
      </c>
      <c r="D51" s="102">
        <v>281.2</v>
      </c>
      <c r="E51" s="57"/>
      <c r="F51" s="8" t="s">
        <v>205</v>
      </c>
      <c r="H51" s="54"/>
      <c r="I51" s="109"/>
      <c r="J51" s="54"/>
    </row>
    <row r="52" spans="2:10" s="30" customFormat="1">
      <c r="B52" s="9" t="s">
        <v>204</v>
      </c>
      <c r="C52" s="8" t="s">
        <v>162</v>
      </c>
      <c r="D52" s="102">
        <v>80</v>
      </c>
      <c r="I52" s="56"/>
    </row>
    <row r="56" spans="2:10">
      <c r="D56" s="1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ocument xmlns="4e7e7126-2040-4c98-98e5-fda1fcd9258c">
      <Value>Regulering</Value>
    </Type_x0020_document>
    <Status xmlns="4e7e7126-2040-4c98-98e5-fda1fcd9258c">Actueel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8D7640ACCFC42A267A6095A89BF7F" ma:contentTypeVersion="2" ma:contentTypeDescription="Een nieuw document maken." ma:contentTypeScope="" ma:versionID="496d12a529ebcca8d49c7778b31b6a91">
  <xsd:schema xmlns:xsd="http://www.w3.org/2001/XMLSchema" xmlns:xs="http://www.w3.org/2001/XMLSchema" xmlns:p="http://schemas.microsoft.com/office/2006/metadata/properties" xmlns:ns2="4e7e7126-2040-4c98-98e5-fda1fcd9258c" targetNamespace="http://schemas.microsoft.com/office/2006/metadata/properties" ma:root="true" ma:fieldsID="680c8a1675dd199a02146539639cc0a2" ns2:_="">
    <xsd:import namespace="4e7e7126-2040-4c98-98e5-fda1fcd9258c"/>
    <xsd:element name="properties">
      <xsd:complexType>
        <xsd:sequence>
          <xsd:element name="documentManagement">
            <xsd:complexType>
              <xsd:all>
                <xsd:element ref="ns2:Type_x0020_documen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7126-2040-4c98-98e5-fda1fcd9258c" elementFormDefault="qualified">
    <xsd:import namespace="http://schemas.microsoft.com/office/2006/documentManagement/types"/>
    <xsd:import namespace="http://schemas.microsoft.com/office/infopath/2007/PartnerControls"/>
    <xsd:element name="Type_x0020_document" ma:index="8" nillable="true" ma:displayName="Type document" ma:default="Projectdocumenten" ma:internalName="Type_x0020_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jectdocumenten"/>
                    <xsd:enumeration value="CN-team Den Haag"/>
                    <xsd:enumeration value="Juridisch"/>
                    <xsd:enumeration value="Regulering"/>
                    <xsd:enumeration value="Communicatie"/>
                    <xsd:enumeration value="EZ"/>
                    <xsd:enumeration value="Financiën"/>
                    <xsd:enumeration value="Bedrijfsvoering"/>
                    <xsd:enumeration value="Caribisch Nederland"/>
                    <xsd:enumeration value="Verslagen"/>
                  </xsd:restriction>
                </xsd:simpleType>
              </xsd:element>
            </xsd:sequence>
          </xsd:extension>
        </xsd:complexContent>
      </xsd:complexType>
    </xsd:element>
    <xsd:element name="Status" ma:index="9" nillable="true" ma:displayName="Status" ma:default="Actueel" ma:format="RadioButtons" ma:indexed="true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31B6D-AC5F-45DB-B9D5-DE29370C67B0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4e7e7126-2040-4c98-98e5-fda1fcd9258c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99D1D1-A26B-44F5-B923-C63E5EB905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4606CE-86C6-4C42-9237-8E816F7D5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e7126-2040-4c98-98e5-fda1fcd92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Explanation</vt:lpstr>
      <vt:lpstr>Input</vt:lpstr>
      <vt:lpstr>Tariff categories</vt:lpstr>
      <vt:lpstr>Costs</vt:lpstr>
      <vt:lpstr>CPI CN</vt:lpstr>
      <vt:lpstr>Income level</vt:lpstr>
      <vt:lpstr>Calculation tariffs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Distributietarieven Elektriciteit SEC 2017</dc:title>
  <dc:creator>Shaun Johnson</dc:creator>
  <cp:keywords>elektriciteit, Caribisch Nederland</cp:keywords>
  <cp:lastModifiedBy>Hoogdorp, Sergio</cp:lastModifiedBy>
  <cp:lastPrinted>2016-07-29T19:08:11Z</cp:lastPrinted>
  <dcterms:created xsi:type="dcterms:W3CDTF">2016-07-29T17:04:11Z</dcterms:created>
  <dcterms:modified xsi:type="dcterms:W3CDTF">2017-06-12T12:24:25Z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0x0101001E88D7640ACCFC42A267A6095A89BF7F</vt:lpwstr>
  </property>
</Properties>
</file>