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1050" windowWidth="9435" windowHeight="7035"/>
  </bookViews>
  <sheets>
    <sheet name="Explanation" sheetId="9" r:id="rId1"/>
    <sheet name="Input" sheetId="5" r:id="rId2"/>
    <sheet name="Costs" sheetId="2" r:id="rId3"/>
    <sheet name="Calculation production price" sheetId="3" r:id="rId4"/>
    <sheet name="CPI CN" sheetId="8" r:id="rId5"/>
  </sheets>
  <calcPr calcId="145621"/>
</workbook>
</file>

<file path=xl/calcChain.xml><?xml version="1.0" encoding="utf-8"?>
<calcChain xmlns="http://schemas.openxmlformats.org/spreadsheetml/2006/main">
  <c r="E11" i="3" l="1"/>
  <c r="C25" i="5" l="1"/>
  <c r="D25" i="8" l="1"/>
  <c r="E25" i="8"/>
  <c r="F25" i="8"/>
  <c r="D26" i="8"/>
  <c r="E26" i="8"/>
  <c r="F26" i="8"/>
  <c r="D30" i="8"/>
  <c r="C5" i="5" s="1"/>
  <c r="E30" i="8"/>
  <c r="F30" i="8"/>
  <c r="D31" i="8"/>
  <c r="C6" i="5" s="1"/>
  <c r="E31" i="8"/>
  <c r="F31" i="8"/>
  <c r="E15" i="3" l="1"/>
  <c r="E7" i="3" l="1"/>
  <c r="C17" i="5" l="1"/>
  <c r="C16" i="5"/>
  <c r="E6" i="3" l="1"/>
  <c r="E9" i="2"/>
  <c r="E8" i="2"/>
  <c r="C23" i="5" l="1"/>
  <c r="E25" i="2" l="1"/>
  <c r="E13" i="2" l="1"/>
  <c r="E14" i="2" s="1"/>
  <c r="E20" i="2" l="1"/>
  <c r="E24" i="2" s="1"/>
  <c r="E27" i="2" s="1"/>
  <c r="E30" i="2" s="1"/>
  <c r="E16" i="2"/>
  <c r="E19" i="2" s="1"/>
  <c r="E26" i="2" s="1"/>
  <c r="C15" i="5"/>
  <c r="E10" i="3"/>
  <c r="E9" i="3"/>
  <c r="E28" i="2"/>
  <c r="C19" i="5" l="1"/>
  <c r="C9" i="5" l="1"/>
  <c r="C26" i="5" l="1"/>
  <c r="E18" i="3" l="1"/>
  <c r="C27" i="5"/>
  <c r="E5" i="3" l="1"/>
  <c r="E16" i="3"/>
  <c r="E19" i="3" s="1"/>
</calcChain>
</file>

<file path=xl/sharedStrings.xml><?xml version="1.0" encoding="utf-8"?>
<sst xmlns="http://schemas.openxmlformats.org/spreadsheetml/2006/main" count="162" uniqueCount="114">
  <si>
    <t>%</t>
  </si>
  <si>
    <t>Total capital costs</t>
  </si>
  <si>
    <t>Operational costs</t>
  </si>
  <si>
    <t>USD</t>
  </si>
  <si>
    <t>USD/kWh</t>
  </si>
  <si>
    <t>Required amount of fuel</t>
  </si>
  <si>
    <t>Total operational costs (excl fuel oil)</t>
  </si>
  <si>
    <t>USD/barrel</t>
  </si>
  <si>
    <t>Total production volume</t>
  </si>
  <si>
    <t>production by wind</t>
  </si>
  <si>
    <t>production by HFO and LFO</t>
  </si>
  <si>
    <t>%HFO</t>
  </si>
  <si>
    <t>%LFO</t>
  </si>
  <si>
    <t>Fuel costs production:</t>
  </si>
  <si>
    <t>Information costs production Contour Global</t>
  </si>
  <si>
    <t>Other operating expenses (annual report 2015)</t>
  </si>
  <si>
    <t>Total asset value 1-1-2016</t>
  </si>
  <si>
    <t>% production by HFO and LFO</t>
  </si>
  <si>
    <t>Fuel costs total production</t>
  </si>
  <si>
    <t>Price HFO</t>
  </si>
  <si>
    <t>Price LFO</t>
  </si>
  <si>
    <t>Based on information request CG (total used barrels in 2015 / total production in 2015)</t>
  </si>
  <si>
    <t>nominal WACC 2017</t>
  </si>
  <si>
    <t>Source</t>
  </si>
  <si>
    <t>Extra information provided by CG</t>
  </si>
  <si>
    <t>Total operational costs</t>
  </si>
  <si>
    <t>Capital costs</t>
  </si>
  <si>
    <t>WACC2017</t>
  </si>
  <si>
    <t>Estimated inflation Bonaire 2016</t>
  </si>
  <si>
    <t>Estimated inflation Bonaire 2017</t>
  </si>
  <si>
    <t>Estimated income level</t>
  </si>
  <si>
    <t>Total costs 2015</t>
  </si>
  <si>
    <t>USD, price level 2015</t>
  </si>
  <si>
    <t>USD, price level 2017</t>
  </si>
  <si>
    <t>Data on developments after 2015 / not stated in annual report</t>
  </si>
  <si>
    <t>Other costs to be included</t>
  </si>
  <si>
    <t>Estimated cost level 2017</t>
  </si>
  <si>
    <t>Production price per kWh</t>
  </si>
  <si>
    <t>kWh</t>
  </si>
  <si>
    <t>barrels/kWh</t>
  </si>
  <si>
    <t>Production price (incl. fuel)</t>
  </si>
  <si>
    <t>Fuel costs</t>
  </si>
  <si>
    <t>Production costs excl fuel</t>
  </si>
  <si>
    <t>Production volume</t>
  </si>
  <si>
    <t>Other costs to be included in estimation of costs 2017 (for discussion)</t>
  </si>
  <si>
    <t>WACC decision</t>
  </si>
  <si>
    <t>In this sheet the costs of 2015 are calculated</t>
  </si>
  <si>
    <t>Transaction costs financing</t>
  </si>
  <si>
    <t>Initial costs power plant excluding transaction costs (value mid Aug 2010)</t>
  </si>
  <si>
    <t>Decrease in value during PPA-period</t>
  </si>
  <si>
    <t>Initial costs power plant (value 20 Aug 2010)</t>
  </si>
  <si>
    <t>years</t>
  </si>
  <si>
    <t>Extra operational costs (maintenance MAN-contract)</t>
  </si>
  <si>
    <t>PPA period in years</t>
  </si>
  <si>
    <t>Yearly depreciation during PPA period</t>
  </si>
  <si>
    <t>Mazars-report 30 Nov 2015, appendix A</t>
  </si>
  <si>
    <t>mail ContourGlobal 16 Sep 2016, Power Purchase Agreement</t>
  </si>
  <si>
    <t>Power Purchase Agreement</t>
  </si>
  <si>
    <t>Residual value power plant (value 20 Aug 2025)</t>
  </si>
  <si>
    <t>Personnel expenses (annual report 2015)</t>
  </si>
  <si>
    <t>Based on information CG</t>
  </si>
  <si>
    <t>November 2016 - Based on invoice Curoil</t>
  </si>
  <si>
    <t>Non-variabel fuel costs (transport, Enercon, annual report 2015)</t>
  </si>
  <si>
    <t>barrels/mWh</t>
  </si>
  <si>
    <t>liters/kWh</t>
  </si>
  <si>
    <t>kWh/liter</t>
  </si>
  <si>
    <t>Total costs 2015 including other costs</t>
  </si>
  <si>
    <t>Annual accounts 2015</t>
  </si>
  <si>
    <t>Estimated inflation 2017</t>
  </si>
  <si>
    <t>Estimated inflation 2016</t>
  </si>
  <si>
    <t>Estimated inflation levels used in tariff calculations (rounded at 1 decimal)</t>
  </si>
  <si>
    <t>Calculated year-on-year inflation 2015 Q3</t>
  </si>
  <si>
    <t>Estimated inflation</t>
  </si>
  <si>
    <t>http://statline.cbs.nl/Statweb/publication/?DM=SLNL&amp;PA=81122NED&amp;D1=0-2&amp;D2=0&amp;D3=a&amp;D4=a&amp;VW=T</t>
  </si>
  <si>
    <t xml:space="preserve">source CBS: </t>
  </si>
  <si>
    <t>CPI</t>
  </si>
  <si>
    <t>2016 3e kwartaal</t>
  </si>
  <si>
    <t>2015 3e kwartaal</t>
  </si>
  <si>
    <t>2014 3e kwartaal</t>
  </si>
  <si>
    <t>Saba</t>
  </si>
  <si>
    <t>St. Eustatius</t>
  </si>
  <si>
    <t>Bonaire</t>
  </si>
  <si>
    <t>(2010 = 100%)</t>
  </si>
  <si>
    <t xml:space="preserve">Consumer Price Index levels </t>
  </si>
  <si>
    <t>CPI Data</t>
  </si>
  <si>
    <t>This closely resembles the method used in the Netherlands, where we use the CPI figures of August of each year.</t>
  </si>
  <si>
    <t>CBS calculates the CPI quarterly, which means we can use the CPI figures of the 'derde kwartaal' (Q3) of each year.</t>
  </si>
  <si>
    <t>In our method we estimate the inflation for year T (the year for which we set tariffs), by looking at the most recent number on inflation between year T-1 and year T-2.</t>
  </si>
  <si>
    <t>These figures are calculated by Centraal Bureau voor de Statistiek, separately for Bonaire, St. Eustatius and Saba.</t>
  </si>
  <si>
    <t>For the calculation of electricity and water tariffs consumer price index (CPI) figures are used to compensate for price fluctuations.</t>
  </si>
  <si>
    <t>Calculation Consumer Price Index - Caribisch Nederland</t>
  </si>
  <si>
    <t>CBS CB</t>
  </si>
  <si>
    <t>Calculated year-on-year inflation 2016 Q3</t>
  </si>
  <si>
    <t>Last update: December 14, 2016</t>
  </si>
  <si>
    <t>Note: the third quarter figures are best estimates to date</t>
  </si>
  <si>
    <t>This worksheet sets several input variables</t>
  </si>
  <si>
    <t>In this sheet the price for electricity is calculated</t>
  </si>
  <si>
    <t>Additional specification on annual accounts 2015 (e-mail CG to ACM 5 dec 2016)</t>
  </si>
  <si>
    <t>Notes to the calculation of the production price 2017 for ContourGlobal Bonaire B.V., dated 15 December 2016</t>
  </si>
  <si>
    <t>Notes</t>
  </si>
  <si>
    <t xml:space="preserve">This file contains the computational model used by the Authority for Consumers and Markets to calculate the production price. </t>
  </si>
  <si>
    <t>The production price descion is the result of the method descision of September 30, 2016 with reference ACM/DE/2016/205454</t>
  </si>
  <si>
    <t>Explanation per worksheet:</t>
  </si>
  <si>
    <t>Cell colours</t>
  </si>
  <si>
    <t>Data and input</t>
  </si>
  <si>
    <t>Calculated value</t>
  </si>
  <si>
    <t>Value from another cell, without calculation</t>
  </si>
  <si>
    <t>Result</t>
  </si>
  <si>
    <t>Attention needed</t>
  </si>
  <si>
    <r>
      <t xml:space="preserve">Input </t>
    </r>
    <r>
      <rPr>
        <sz val="11"/>
        <rFont val="Calibri"/>
        <family val="2"/>
        <scheme val="minor"/>
      </rPr>
      <t>contains data on the WACC, inflation, production and fuel</t>
    </r>
  </si>
  <si>
    <r>
      <rPr>
        <b/>
        <sz val="11"/>
        <rFont val="Calibri"/>
        <family val="2"/>
        <scheme val="minor"/>
      </rPr>
      <t>Costs</t>
    </r>
    <r>
      <rPr>
        <sz val="11"/>
        <rFont val="Calibri"/>
        <family val="2"/>
        <scheme val="minor"/>
      </rPr>
      <t xml:space="preserve"> contains data  on operational costs, capital costs and total cost</t>
    </r>
  </si>
  <si>
    <r>
      <rPr>
        <b/>
        <sz val="11"/>
        <rFont val="Calibri"/>
        <family val="2"/>
        <scheme val="minor"/>
      </rPr>
      <t>Calculation production price</t>
    </r>
    <r>
      <rPr>
        <sz val="11"/>
        <rFont val="Calibri"/>
        <family val="2"/>
        <scheme val="minor"/>
      </rPr>
      <t xml:space="preserve"> calculates total cost at the 2017 pricelevel and calculates the production price</t>
    </r>
  </si>
  <si>
    <r>
      <rPr>
        <b/>
        <sz val="11"/>
        <rFont val="Calibri"/>
        <family val="2"/>
        <scheme val="minor"/>
      </rPr>
      <t>CPI CN</t>
    </r>
    <r>
      <rPr>
        <sz val="11"/>
        <rFont val="Calibri"/>
        <family val="2"/>
        <scheme val="minor"/>
      </rPr>
      <t xml:space="preserve"> calculates the consumer price index</t>
    </r>
  </si>
  <si>
    <t>This file is part of the production price decision with reference: ACM/DE/16.1264.52, the production price decision has filenumber 2016207759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</si>
</sst>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 * #,##0_ ;_ * \-#,##0_ ;_ * &quot;-&quot;??_ ;_ @_ "/>
    <numFmt numFmtId="165" formatCode="#,##0.000000"/>
    <numFmt numFmtId="166" formatCode="0.0000"/>
    <numFmt numFmtId="167" formatCode="0.0%"/>
    <numFmt numFmtId="168" formatCode="_-* #,##0.00_-;_-* #,##0.00\-;_-* &quot;-&quot;??_-;_-@_-"/>
    <numFmt numFmtId="169" formatCode="_([$€]* #,##0.00_);_([$€]* \(#,##0.00\);_([$€]* &quot;-&quot;??_);_(@_)"/>
    <numFmt numFmtId="170" formatCode="_(* #,##0.00_);_(* \(#,##0.00\);_(* &quot;-&quot;??_);_(@_)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name val="Comic Sans MS"/>
      <family val="4"/>
    </font>
    <font>
      <sz val="12"/>
      <name val="Times New Roman"/>
      <family val="1"/>
    </font>
    <font>
      <sz val="10"/>
      <color indexed="8"/>
      <name val="EYInterstate Light"/>
      <family val="2"/>
    </font>
    <font>
      <sz val="10"/>
      <color indexed="9"/>
      <name val="EYInterstate Light"/>
      <family val="2"/>
    </font>
    <font>
      <sz val="10"/>
      <color indexed="20"/>
      <name val="EYInterstate Light"/>
      <family val="2"/>
    </font>
    <font>
      <b/>
      <sz val="10"/>
      <color indexed="52"/>
      <name val="EYInterstate Light"/>
      <family val="2"/>
    </font>
    <font>
      <b/>
      <sz val="10"/>
      <color indexed="9"/>
      <name val="EYInterstate Light"/>
      <family val="2"/>
    </font>
    <font>
      <i/>
      <sz val="10"/>
      <color indexed="23"/>
      <name val="EYInterstate Light"/>
      <family val="2"/>
    </font>
    <font>
      <sz val="10"/>
      <color indexed="17"/>
      <name val="EYInterstate Light"/>
      <family val="2"/>
    </font>
    <font>
      <b/>
      <sz val="15"/>
      <color indexed="56"/>
      <name val="EYInterstate Light"/>
      <family val="2"/>
    </font>
    <font>
      <b/>
      <sz val="13"/>
      <color indexed="56"/>
      <name val="EYInterstate Light"/>
      <family val="2"/>
    </font>
    <font>
      <b/>
      <sz val="11"/>
      <color indexed="56"/>
      <name val="EYInterstate Light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b/>
      <sz val="10"/>
      <color indexed="63"/>
      <name val="EYInterstate Light"/>
      <family val="2"/>
    </font>
    <font>
      <b/>
      <sz val="10"/>
      <color indexed="8"/>
      <name val="EYInterstate Light"/>
      <family val="2"/>
    </font>
    <font>
      <sz val="10"/>
      <color indexed="10"/>
      <name val="EYInterstate Ligh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4" fillId="8" borderId="0" applyNumberFormat="0" applyBorder="0" applyAlignment="0" applyProtection="0"/>
    <xf numFmtId="0" fontId="15" fillId="25" borderId="1" applyNumberFormat="0" applyAlignment="0" applyProtection="0"/>
    <xf numFmtId="0" fontId="15" fillId="25" borderId="1" applyNumberFormat="0" applyAlignment="0" applyProtection="0"/>
    <xf numFmtId="0" fontId="16" fillId="26" borderId="2" applyNumberFormat="0" applyAlignment="0" applyProtection="0"/>
    <xf numFmtId="0" fontId="16" fillId="26" borderId="2" applyNumberFormat="0" applyAlignment="0" applyProtection="0"/>
    <xf numFmtId="169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0" borderId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12" borderId="1" applyNumberFormat="0" applyAlignment="0" applyProtection="0"/>
    <xf numFmtId="0" fontId="23" fillId="12" borderId="1" applyNumberFormat="0" applyAlignment="0" applyProtection="0"/>
    <xf numFmtId="168" fontId="10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1" fillId="0" borderId="0"/>
    <xf numFmtId="0" fontId="10" fillId="28" borderId="7" applyNumberFormat="0" applyFont="0" applyAlignment="0" applyProtection="0"/>
    <xf numFmtId="0" fontId="10" fillId="28" borderId="7" applyNumberFormat="0" applyFont="0" applyAlignment="0" applyProtection="0"/>
    <xf numFmtId="0" fontId="14" fillId="8" borderId="0" applyNumberFormat="0" applyBorder="0" applyAlignment="0" applyProtection="0"/>
    <xf numFmtId="0" fontId="26" fillId="25" borderId="8" applyNumberFormat="0" applyAlignment="0" applyProtection="0"/>
    <xf numFmtId="9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6" fillId="25" borderId="8" applyNumberFormat="0" applyAlignment="0" applyProtection="0"/>
    <xf numFmtId="0" fontId="1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/>
    <xf numFmtId="0" fontId="10" fillId="0" borderId="0"/>
    <xf numFmtId="168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 applyFill="0"/>
    <xf numFmtId="0" fontId="30" fillId="0" borderId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5" fillId="8" borderId="0" applyNumberFormat="0" applyBorder="0" applyAlignment="0" applyProtection="0"/>
    <xf numFmtId="0" fontId="36" fillId="25" borderId="1" applyNumberFormat="0" applyAlignment="0" applyProtection="0"/>
    <xf numFmtId="0" fontId="37" fillId="26" borderId="2" applyNumberFormat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9" borderId="0" applyNumberFormat="0" applyBorder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43" fillId="12" borderId="1" applyNumberFormat="0" applyAlignment="0" applyProtection="0"/>
    <xf numFmtId="168" fontId="10" fillId="0" borderId="0" applyFont="0" applyFill="0" applyBorder="0" applyAlignment="0" applyProtection="0"/>
    <xf numFmtId="0" fontId="44" fillId="0" borderId="3" applyNumberFormat="0" applyFill="0" applyAlignment="0" applyProtection="0"/>
    <xf numFmtId="0" fontId="45" fillId="27" borderId="0" applyNumberFormat="0" applyBorder="0" applyAlignment="0" applyProtection="0"/>
    <xf numFmtId="0" fontId="46" fillId="0" borderId="0"/>
    <xf numFmtId="0" fontId="32" fillId="0" borderId="0"/>
    <xf numFmtId="0" fontId="32" fillId="28" borderId="7" applyNumberFormat="0" applyFont="0" applyAlignment="0" applyProtection="0"/>
    <xf numFmtId="0" fontId="47" fillId="25" borderId="8" applyNumberFormat="0" applyAlignment="0" applyProtection="0"/>
    <xf numFmtId="0" fontId="2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ont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0" fontId="2" fillId="0" borderId="0"/>
    <xf numFmtId="168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9" fillId="0" borderId="0"/>
    <xf numFmtId="0" fontId="30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ont="1"/>
    <xf numFmtId="3" fontId="0" fillId="0" borderId="0" xfId="0" applyNumberFormat="1"/>
    <xf numFmtId="0" fontId="3" fillId="2" borderId="0" xfId="0" applyFont="1" applyFill="1"/>
    <xf numFmtId="0" fontId="0" fillId="0" borderId="0" xfId="0" applyBorder="1"/>
    <xf numFmtId="4" fontId="0" fillId="0" borderId="0" xfId="0" applyNumberFormat="1" applyFill="1" applyBorder="1"/>
    <xf numFmtId="3" fontId="0" fillId="0" borderId="0" xfId="0" applyNumberFormat="1" applyFill="1" applyBorder="1"/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ont="1" applyBorder="1"/>
    <xf numFmtId="0" fontId="5" fillId="2" borderId="0" xfId="0" applyFont="1" applyFill="1"/>
    <xf numFmtId="0" fontId="1" fillId="0" borderId="0" xfId="0" applyFont="1" applyBorder="1"/>
    <xf numFmtId="0" fontId="0" fillId="0" borderId="0" xfId="0" applyFont="1" applyFill="1" applyBorder="1"/>
    <xf numFmtId="0" fontId="1" fillId="0" borderId="0" xfId="0" applyFont="1" applyFill="1" applyBorder="1"/>
    <xf numFmtId="0" fontId="6" fillId="0" borderId="0" xfId="0" applyFont="1" applyBorder="1"/>
    <xf numFmtId="0" fontId="0" fillId="0" borderId="0" xfId="0" applyAlignment="1">
      <alignment horizontal="left"/>
    </xf>
    <xf numFmtId="0" fontId="0" fillId="4" borderId="0" xfId="0" applyFill="1"/>
    <xf numFmtId="10" fontId="0" fillId="4" borderId="0" xfId="1" applyNumberFormat="1" applyFont="1" applyFill="1"/>
    <xf numFmtId="3" fontId="0" fillId="4" borderId="0" xfId="0" applyNumberFormat="1" applyFill="1" applyBorder="1"/>
    <xf numFmtId="4" fontId="0" fillId="4" borderId="0" xfId="0" applyNumberFormat="1" applyFill="1" applyBorder="1"/>
    <xf numFmtId="3" fontId="0" fillId="5" borderId="0" xfId="0" applyNumberFormat="1" applyFill="1"/>
    <xf numFmtId="9" fontId="0" fillId="5" borderId="0" xfId="1" applyFont="1" applyFill="1"/>
    <xf numFmtId="0" fontId="7" fillId="0" borderId="0" xfId="0" applyFont="1"/>
    <xf numFmtId="0" fontId="0" fillId="2" borderId="0" xfId="0" applyFont="1" applyFill="1"/>
    <xf numFmtId="164" fontId="0" fillId="0" borderId="0" xfId="3" applyNumberFormat="1" applyFont="1"/>
    <xf numFmtId="164" fontId="0" fillId="4" borderId="0" xfId="3" applyNumberFormat="1" applyFont="1" applyFill="1" applyBorder="1"/>
    <xf numFmtId="164" fontId="0" fillId="0" borderId="0" xfId="3" applyNumberFormat="1" applyFont="1" applyFill="1" applyBorder="1"/>
    <xf numFmtId="164" fontId="0" fillId="5" borderId="0" xfId="3" applyNumberFormat="1" applyFont="1" applyFill="1" applyBorder="1"/>
    <xf numFmtId="164" fontId="0" fillId="2" borderId="0" xfId="3" applyNumberFormat="1" applyFont="1" applyFill="1"/>
    <xf numFmtId="164" fontId="2" fillId="0" borderId="0" xfId="3" applyNumberFormat="1" applyFont="1" applyFill="1" applyBorder="1"/>
    <xf numFmtId="10" fontId="0" fillId="6" borderId="0" xfId="1" applyNumberFormat="1" applyFont="1" applyFill="1" applyBorder="1"/>
    <xf numFmtId="164" fontId="0" fillId="3" borderId="0" xfId="3" applyNumberFormat="1" applyFont="1" applyFill="1"/>
    <xf numFmtId="164" fontId="0" fillId="6" borderId="0" xfId="3" applyNumberFormat="1" applyFont="1" applyFill="1" applyBorder="1"/>
    <xf numFmtId="0" fontId="6" fillId="0" borderId="0" xfId="0" applyFont="1" applyAlignment="1">
      <alignment horizontal="center"/>
    </xf>
    <xf numFmtId="10" fontId="0" fillId="6" borderId="0" xfId="1" applyNumberFormat="1" applyFont="1" applyFill="1"/>
    <xf numFmtId="164" fontId="0" fillId="5" borderId="0" xfId="3" applyNumberFormat="1" applyFont="1" applyFill="1"/>
    <xf numFmtId="3" fontId="0" fillId="6" borderId="0" xfId="0" applyNumberFormat="1" applyFill="1" applyBorder="1"/>
    <xf numFmtId="165" fontId="0" fillId="4" borderId="0" xfId="0" applyNumberFormat="1" applyFill="1" applyBorder="1"/>
    <xf numFmtId="165" fontId="0" fillId="5" borderId="0" xfId="0" applyNumberFormat="1" applyFill="1" applyBorder="1"/>
    <xf numFmtId="166" fontId="0" fillId="5" borderId="0" xfId="0" applyNumberFormat="1" applyFill="1" applyBorder="1"/>
    <xf numFmtId="166" fontId="0" fillId="0" borderId="0" xfId="0" applyNumberFormat="1" applyBorder="1"/>
    <xf numFmtId="166" fontId="0" fillId="3" borderId="0" xfId="0" applyNumberFormat="1" applyFill="1" applyBorder="1"/>
    <xf numFmtId="166" fontId="0" fillId="3" borderId="0" xfId="0" applyNumberFormat="1" applyFont="1" applyFill="1" applyBorder="1"/>
    <xf numFmtId="167" fontId="0" fillId="4" borderId="0" xfId="1" applyNumberFormat="1" applyFont="1" applyFill="1" applyBorder="1"/>
    <xf numFmtId="165" fontId="0" fillId="0" borderId="0" xfId="0" applyNumberFormat="1"/>
    <xf numFmtId="167" fontId="0" fillId="3" borderId="0" xfId="0" applyNumberFormat="1" applyFill="1"/>
    <xf numFmtId="10" fontId="0" fillId="5" borderId="0" xfId="1" applyNumberFormat="1" applyFont="1" applyFill="1"/>
    <xf numFmtId="0" fontId="8" fillId="0" borderId="0" xfId="4"/>
    <xf numFmtId="166" fontId="0" fillId="5" borderId="0" xfId="0" applyNumberFormat="1" applyFill="1"/>
    <xf numFmtId="0" fontId="50" fillId="29" borderId="10" xfId="5" applyFont="1" applyFill="1" applyBorder="1"/>
    <xf numFmtId="0" fontId="51" fillId="0" borderId="0" xfId="5" applyFont="1" applyAlignment="1"/>
    <xf numFmtId="0" fontId="51" fillId="0" borderId="0" xfId="5" applyFont="1" applyAlignment="1">
      <alignment horizontal="left" wrapText="1"/>
    </xf>
    <xf numFmtId="0" fontId="50" fillId="0" borderId="0" xfId="5" applyFont="1" applyAlignment="1">
      <alignment horizontal="left" wrapText="1"/>
    </xf>
    <xf numFmtId="0" fontId="51" fillId="30" borderId="0" xfId="5" applyFont="1" applyFill="1"/>
    <xf numFmtId="0" fontId="50" fillId="30" borderId="0" xfId="5" applyFont="1" applyFill="1"/>
    <xf numFmtId="0" fontId="50" fillId="29" borderId="10" xfId="137" applyFont="1" applyFill="1" applyBorder="1"/>
    <xf numFmtId="0" fontId="51" fillId="31" borderId="11" xfId="138" applyFont="1" applyFill="1" applyBorder="1"/>
    <xf numFmtId="0" fontId="51" fillId="0" borderId="0" xfId="5" applyFont="1"/>
    <xf numFmtId="0" fontId="51" fillId="32" borderId="0" xfId="138" applyFont="1" applyFill="1" applyBorder="1"/>
    <xf numFmtId="0" fontId="51" fillId="5" borderId="11" xfId="138" applyFont="1" applyFill="1" applyBorder="1"/>
    <xf numFmtId="0" fontId="51" fillId="33" borderId="11" xfId="138" applyFont="1" applyFill="1" applyBorder="1"/>
    <xf numFmtId="0" fontId="52" fillId="32" borderId="0" xfId="138" applyFont="1" applyFill="1" applyBorder="1"/>
    <xf numFmtId="0" fontId="51" fillId="34" borderId="11" xfId="138" applyFont="1" applyFill="1" applyBorder="1"/>
    <xf numFmtId="0" fontId="51" fillId="35" borderId="11" xfId="138" applyFont="1" applyFill="1" applyBorder="1"/>
  </cellXfs>
  <cellStyles count="139">
    <cellStyle name="_x000d__x000a_JournalTemplate=C:\COMFO\CTALK\JOURSTD.TPL_x000d__x000a_LbStateAddress=3 3 0 251 1 89 2 311_x000d__x000a_LbStateJou" xfId="6"/>
    <cellStyle name="_x000d__x000a_JournalTemplate=C:\COMFO\CTALK\JOURSTD.TPL_x000d__x000a_LbStateAddress=3 3 0 251 1 89 2 311_x000d__x000a_LbStateJou 2" xfId="71"/>
    <cellStyle name="_x000d__x000a_JournalTemplate=C:\COMFO\CTALK\JOURSTD.TPL_x000d__x000a_LbStateAddress=3 3 0 251 1 89 2 311_x000d__x000a_LbStateJou 2 2" xfId="133"/>
    <cellStyle name="_x000d__x000a_JournalTemplate=C:\COMFO\CTALK\JOURSTD.TPL_x000d__x000a_LbStateAddress=3 3 0 251 1 89 2 311_x000d__x000a_LbStateJou 3" xfId="70"/>
    <cellStyle name="_x000d__x000a_JournalTemplate=C:\COMFO\CTALK\JOURSTD.TPL_x000d__x000a_LbStateAddress=3 3 0 251 1 89 2 311_x000d__x000a_LbStateJou 4" xfId="78"/>
    <cellStyle name="_x000d__x000a_JournalTemplate=C:\COMFO\CTALK\JOURSTD.TPL_x000d__x000a_LbStateAddress=3 3 0 251 1 89 2 311_x000d__x000a_LbStateJou 5" xfId="137"/>
    <cellStyle name="_x000d__x000a_JournalTemplate=C:\COMFO\CTALK\JOURSTD.TPL_x000d__x000a_LbStateAddress=3 3 0 251 1 89 2 311_x000d__x000a_LbStateJou_100720 berekening x-factoren NG4R v4.2" xfId="136"/>
    <cellStyle name="20% - Accent1 2" xfId="79"/>
    <cellStyle name="20% - Accent1 3" xfId="7"/>
    <cellStyle name="20% - Accent2 2" xfId="80"/>
    <cellStyle name="20% - Accent2 3" xfId="8"/>
    <cellStyle name="20% - Accent3 2" xfId="81"/>
    <cellStyle name="20% - Accent3 3" xfId="9"/>
    <cellStyle name="20% - Accent4 2" xfId="82"/>
    <cellStyle name="20% - Accent4 3" xfId="10"/>
    <cellStyle name="20% - Accent5 2" xfId="83"/>
    <cellStyle name="20% - Accent5 3" xfId="11"/>
    <cellStyle name="20% - Accent6 2" xfId="84"/>
    <cellStyle name="20% - Accent6 3" xfId="12"/>
    <cellStyle name="40% - Accent1 2" xfId="85"/>
    <cellStyle name="40% - Accent1 3" xfId="13"/>
    <cellStyle name="40% - Accent2 2" xfId="86"/>
    <cellStyle name="40% - Accent2 3" xfId="14"/>
    <cellStyle name="40% - Accent3 2" xfId="87"/>
    <cellStyle name="40% - Accent3 3" xfId="15"/>
    <cellStyle name="40% - Accent4 2" xfId="88"/>
    <cellStyle name="40% - Accent4 3" xfId="16"/>
    <cellStyle name="40% - Accent5 2" xfId="89"/>
    <cellStyle name="40% - Accent5 3" xfId="17"/>
    <cellStyle name="40% - Accent6 2" xfId="90"/>
    <cellStyle name="40% - Accent6 3" xfId="18"/>
    <cellStyle name="60% - Accent1 2" xfId="91"/>
    <cellStyle name="60% - Accent1 3" xfId="19"/>
    <cellStyle name="60% - Accent2 2" xfId="92"/>
    <cellStyle name="60% - Accent2 3" xfId="20"/>
    <cellStyle name="60% - Accent3 2" xfId="93"/>
    <cellStyle name="60% - Accent3 3" xfId="21"/>
    <cellStyle name="60% - Accent4 2" xfId="94"/>
    <cellStyle name="60% - Accent4 3" xfId="22"/>
    <cellStyle name="60% - Accent5 2" xfId="95"/>
    <cellStyle name="60% - Accent5 3" xfId="23"/>
    <cellStyle name="60% - Accent6 2" xfId="96"/>
    <cellStyle name="60% - Accent6 3" xfId="24"/>
    <cellStyle name="Accent1 2" xfId="97"/>
    <cellStyle name="Accent1 3" xfId="25"/>
    <cellStyle name="Accent2 2" xfId="98"/>
    <cellStyle name="Accent2 3" xfId="26"/>
    <cellStyle name="Accent3 2" xfId="99"/>
    <cellStyle name="Accent3 3" xfId="27"/>
    <cellStyle name="Accent4 2" xfId="100"/>
    <cellStyle name="Accent4 3" xfId="28"/>
    <cellStyle name="Accent5 2" xfId="101"/>
    <cellStyle name="Accent5 3" xfId="29"/>
    <cellStyle name="Accent6 2" xfId="102"/>
    <cellStyle name="Accent6 3" xfId="30"/>
    <cellStyle name="Bad" xfId="31"/>
    <cellStyle name="Bad 2" xfId="103"/>
    <cellStyle name="Berekening 2" xfId="32"/>
    <cellStyle name="Calculation" xfId="33"/>
    <cellStyle name="Calculation 2" xfId="104"/>
    <cellStyle name="Check Cell" xfId="34"/>
    <cellStyle name="Check Cell 2" xfId="105"/>
    <cellStyle name="Comma 2" xfId="106"/>
    <cellStyle name="Comma 3" xfId="107"/>
    <cellStyle name="Controlecel 2" xfId="35"/>
    <cellStyle name="Euro" xfId="36"/>
    <cellStyle name="Euro 2" xfId="108"/>
    <cellStyle name="Explanatory Text" xfId="37"/>
    <cellStyle name="Explanatory Text 2" xfId="109"/>
    <cellStyle name="Gekoppelde cel 2" xfId="38"/>
    <cellStyle name="Goed 2" xfId="39"/>
    <cellStyle name="Good" xfId="40"/>
    <cellStyle name="Good 2" xfId="110"/>
    <cellStyle name="Header" xfId="41"/>
    <cellStyle name="Heading 1" xfId="42"/>
    <cellStyle name="Heading 1 2" xfId="111"/>
    <cellStyle name="Heading 2" xfId="43"/>
    <cellStyle name="Heading 2 2" xfId="112"/>
    <cellStyle name="Heading 3" xfId="44"/>
    <cellStyle name="Heading 3 2" xfId="113"/>
    <cellStyle name="Heading 4" xfId="45"/>
    <cellStyle name="Heading 4 2" xfId="114"/>
    <cellStyle name="Hyperlink" xfId="4" builtinId="8"/>
    <cellStyle name="Input" xfId="46"/>
    <cellStyle name="Input 2" xfId="115"/>
    <cellStyle name="Invoer 2" xfId="47"/>
    <cellStyle name="Komma" xfId="3" builtinId="3"/>
    <cellStyle name="Komma 14 2" xfId="130"/>
    <cellStyle name="Komma 2" xfId="72"/>
    <cellStyle name="Komma 2 2" xfId="128"/>
    <cellStyle name="Komma 2 3" xfId="134"/>
    <cellStyle name="Komma 3" xfId="116"/>
    <cellStyle name="Komma 3 2" xfId="135"/>
    <cellStyle name="Komma 4" xfId="131"/>
    <cellStyle name="Komma 5" xfId="48"/>
    <cellStyle name="Kop 1 2" xfId="49"/>
    <cellStyle name="Kop 2 2" xfId="50"/>
    <cellStyle name="Kop 3 2" xfId="51"/>
    <cellStyle name="Kop 4 2" xfId="52"/>
    <cellStyle name="Linked Cell" xfId="53"/>
    <cellStyle name="Linked Cell 2" xfId="117"/>
    <cellStyle name="Neutraal 2" xfId="54"/>
    <cellStyle name="Neutral" xfId="55"/>
    <cellStyle name="Neutral 2" xfId="118"/>
    <cellStyle name="Normal 2" xfId="119"/>
    <cellStyle name="Normal 3" xfId="120"/>
    <cellStyle name="Normal_# klanten" xfId="56"/>
    <cellStyle name="Note" xfId="57"/>
    <cellStyle name="Note 2" xfId="121"/>
    <cellStyle name="Notitie 2" xfId="58"/>
    <cellStyle name="Ongeldig 2" xfId="59"/>
    <cellStyle name="Output" xfId="60"/>
    <cellStyle name="Output 2" xfId="122"/>
    <cellStyle name="Procent" xfId="1" builtinId="5"/>
    <cellStyle name="Procent 2" xfId="74"/>
    <cellStyle name="Procent 3" xfId="132"/>
    <cellStyle name="Procent 4" xfId="61"/>
    <cellStyle name="Standaard" xfId="0" builtinId="0"/>
    <cellStyle name="Standaard 2" xfId="2"/>
    <cellStyle name="Standaard 2 2" xfId="76"/>
    <cellStyle name="Standaard 2 3" xfId="127"/>
    <cellStyle name="Standaard 2 4" xfId="73"/>
    <cellStyle name="Standaard 3" xfId="75"/>
    <cellStyle name="Standaard 4" xfId="77"/>
    <cellStyle name="Standaard 5" xfId="129"/>
    <cellStyle name="Standaard 6" xfId="5"/>
    <cellStyle name="Standaard_20100727 Rekenmodel NE5R v1.9" xfId="138"/>
    <cellStyle name="Titel 2" xfId="62"/>
    <cellStyle name="Title" xfId="63"/>
    <cellStyle name="Title 2" xfId="123"/>
    <cellStyle name="Totaal 2" xfId="64"/>
    <cellStyle name="Total" xfId="65"/>
    <cellStyle name="Total 2" xfId="124"/>
    <cellStyle name="Uitvoer 2" xfId="66"/>
    <cellStyle name="Verklarende tekst 2" xfId="67"/>
    <cellStyle name="Waarschuwingstekst 2" xfId="68"/>
    <cellStyle name="Warning Text" xfId="69"/>
    <cellStyle name="Warning Text 2" xfId="125"/>
    <cellStyle name="WIt" xfId="126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statline.cbs.nl/Statweb/publication/?DM=SLNL&amp;PA=81122NED&amp;D1=0-2&amp;D2=0&amp;D3=a&amp;D4=a&amp;VW=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="85" zoomScaleNormal="85" workbookViewId="0"/>
  </sheetViews>
  <sheetFormatPr defaultRowHeight="15"/>
  <cols>
    <col min="1" max="1" width="6.85546875" style="9" customWidth="1"/>
    <col min="2" max="2" width="172.140625" style="9" customWidth="1"/>
    <col min="3" max="16384" width="9.140625" style="9"/>
  </cols>
  <sheetData>
    <row r="1" spans="1:4" s="5" customFormat="1" ht="35.25" customHeight="1">
      <c r="A1" s="5" t="s">
        <v>98</v>
      </c>
    </row>
    <row r="3" spans="1:4" s="3" customFormat="1">
      <c r="B3" s="52" t="s">
        <v>99</v>
      </c>
    </row>
    <row r="4" spans="1:4" s="3" customFormat="1"/>
    <row r="5" spans="1:4" s="3" customFormat="1">
      <c r="B5" s="53" t="s">
        <v>100</v>
      </c>
      <c r="C5" s="53"/>
      <c r="D5" s="53"/>
    </row>
    <row r="6" spans="1:4" s="3" customFormat="1">
      <c r="B6" s="53" t="s">
        <v>113</v>
      </c>
      <c r="C6" s="53"/>
      <c r="D6" s="53"/>
    </row>
    <row r="7" spans="1:4" s="3" customFormat="1">
      <c r="B7" s="53" t="s">
        <v>101</v>
      </c>
      <c r="C7" s="53"/>
      <c r="D7" s="53"/>
    </row>
    <row r="8" spans="1:4" s="3" customFormat="1">
      <c r="B8" s="54"/>
      <c r="C8" s="54"/>
      <c r="D8" s="54"/>
    </row>
    <row r="9" spans="1:4" s="3" customFormat="1">
      <c r="B9" s="54" t="s">
        <v>102</v>
      </c>
      <c r="C9" s="54"/>
      <c r="D9" s="54"/>
    </row>
    <row r="10" spans="1:4" s="3" customFormat="1">
      <c r="B10" s="55" t="s">
        <v>109</v>
      </c>
      <c r="C10" s="54"/>
      <c r="D10" s="54"/>
    </row>
    <row r="11" spans="1:4" s="3" customFormat="1">
      <c r="B11" s="56" t="s">
        <v>110</v>
      </c>
      <c r="C11" s="56"/>
      <c r="D11" s="56"/>
    </row>
    <row r="12" spans="1:4" s="3" customFormat="1">
      <c r="B12" s="56" t="s">
        <v>111</v>
      </c>
      <c r="C12" s="56"/>
      <c r="D12" s="56"/>
    </row>
    <row r="13" spans="1:4" s="3" customFormat="1">
      <c r="B13" s="56" t="s">
        <v>112</v>
      </c>
      <c r="C13" s="56"/>
      <c r="D13" s="56"/>
    </row>
    <row r="14" spans="1:4" s="3" customFormat="1">
      <c r="B14" s="57"/>
      <c r="C14" s="56"/>
      <c r="D14" s="56"/>
    </row>
    <row r="15" spans="1:4" s="3" customFormat="1"/>
    <row r="16" spans="1:4" s="3" customFormat="1">
      <c r="B16" s="58" t="s">
        <v>103</v>
      </c>
      <c r="C16" s="56"/>
      <c r="D16" s="56"/>
    </row>
    <row r="17" spans="2:4" s="3" customFormat="1"/>
    <row r="18" spans="2:4" s="3" customFormat="1">
      <c r="B18" s="59" t="s">
        <v>104</v>
      </c>
      <c r="C18" s="60"/>
      <c r="D18" s="60"/>
    </row>
    <row r="19" spans="2:4" s="3" customFormat="1">
      <c r="B19" s="61"/>
      <c r="C19" s="60"/>
      <c r="D19" s="60"/>
    </row>
    <row r="20" spans="2:4" s="3" customFormat="1">
      <c r="B20" s="62" t="s">
        <v>105</v>
      </c>
      <c r="C20" s="60"/>
      <c r="D20" s="60"/>
    </row>
    <row r="21" spans="2:4" s="3" customFormat="1">
      <c r="B21" s="61"/>
      <c r="C21" s="60"/>
      <c r="D21" s="60"/>
    </row>
    <row r="22" spans="2:4" s="3" customFormat="1">
      <c r="B22" s="63" t="s">
        <v>106</v>
      </c>
      <c r="C22" s="60"/>
      <c r="D22" s="60"/>
    </row>
    <row r="23" spans="2:4" s="3" customFormat="1">
      <c r="B23" s="64"/>
      <c r="C23" s="60"/>
      <c r="D23" s="60"/>
    </row>
    <row r="24" spans="2:4" s="3" customFormat="1">
      <c r="B24" s="65" t="s">
        <v>107</v>
      </c>
      <c r="C24" s="60"/>
      <c r="D24" s="60"/>
    </row>
    <row r="25" spans="2:4" s="3" customFormat="1"/>
    <row r="26" spans="2:4" s="3" customFormat="1">
      <c r="B26" s="66" t="s">
        <v>108</v>
      </c>
      <c r="C26" s="60"/>
      <c r="D26" s="60"/>
    </row>
    <row r="27" spans="2:4" s="3" customFormat="1"/>
    <row r="28" spans="2:4" s="3" customForma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CCFFCC"/>
    <pageSetUpPr fitToPage="1"/>
  </sheetPr>
  <dimension ref="A1:T33"/>
  <sheetViews>
    <sheetView showGridLines="0" zoomScale="85" zoomScaleNormal="85" workbookViewId="0"/>
  </sheetViews>
  <sheetFormatPr defaultRowHeight="15"/>
  <cols>
    <col min="2" max="2" width="41.140625" customWidth="1"/>
    <col min="3" max="3" width="15" customWidth="1"/>
    <col min="4" max="4" width="10.5703125" customWidth="1"/>
  </cols>
  <sheetData>
    <row r="1" spans="1:6" s="5" customFormat="1" ht="35.25" customHeight="1">
      <c r="A1" s="5" t="s">
        <v>95</v>
      </c>
    </row>
    <row r="3" spans="1:6">
      <c r="F3" s="25" t="s">
        <v>23</v>
      </c>
    </row>
    <row r="4" spans="1:6">
      <c r="B4" t="s">
        <v>22</v>
      </c>
      <c r="C4" s="20">
        <v>6.4799999999999996E-2</v>
      </c>
      <c r="F4" t="s">
        <v>45</v>
      </c>
    </row>
    <row r="5" spans="1:6" s="9" customFormat="1">
      <c r="B5" s="9" t="s">
        <v>28</v>
      </c>
      <c r="C5" s="37">
        <f>'CPI CN'!D30</f>
        <v>-8.9999999999999993E-3</v>
      </c>
      <c r="F5" s="9" t="s">
        <v>91</v>
      </c>
    </row>
    <row r="6" spans="1:6" s="9" customFormat="1">
      <c r="B6" s="9" t="s">
        <v>29</v>
      </c>
      <c r="C6" s="37">
        <f>'CPI CN'!D31</f>
        <v>6.0000000000000001E-3</v>
      </c>
      <c r="F6" s="9" t="s">
        <v>91</v>
      </c>
    </row>
    <row r="8" spans="1:6" s="9" customFormat="1">
      <c r="B8" s="10"/>
    </row>
    <row r="9" spans="1:6" s="9" customFormat="1">
      <c r="B9" s="3" t="s">
        <v>8</v>
      </c>
      <c r="C9" s="23">
        <f>C10+C11</f>
        <v>105500000</v>
      </c>
      <c r="D9" s="9" t="s">
        <v>38</v>
      </c>
    </row>
    <row r="10" spans="1:6" s="9" customFormat="1">
      <c r="B10" s="3" t="s">
        <v>9</v>
      </c>
      <c r="C10" s="21">
        <v>33900000</v>
      </c>
      <c r="D10" s="9" t="s">
        <v>38</v>
      </c>
      <c r="F10" s="9" t="s">
        <v>60</v>
      </c>
    </row>
    <row r="11" spans="1:6">
      <c r="B11" t="s">
        <v>10</v>
      </c>
      <c r="C11" s="21">
        <v>71600000</v>
      </c>
      <c r="D11" s="9" t="s">
        <v>38</v>
      </c>
      <c r="F11" s="9" t="s">
        <v>60</v>
      </c>
    </row>
    <row r="12" spans="1:6" s="9" customFormat="1">
      <c r="C12" s="8"/>
    </row>
    <row r="13" spans="1:6" s="9" customFormat="1">
      <c r="C13" s="8"/>
    </row>
    <row r="14" spans="1:6">
      <c r="B14" t="s">
        <v>5</v>
      </c>
      <c r="C14" s="40">
        <v>1.4970000000000001</v>
      </c>
      <c r="D14" t="s">
        <v>63</v>
      </c>
      <c r="F14" s="9" t="s">
        <v>21</v>
      </c>
    </row>
    <row r="15" spans="1:6" s="9" customFormat="1">
      <c r="C15" s="41">
        <f>C14/1000</f>
        <v>1.4970000000000001E-3</v>
      </c>
      <c r="D15" s="9" t="s">
        <v>39</v>
      </c>
    </row>
    <row r="16" spans="1:6" s="9" customFormat="1">
      <c r="C16" s="41">
        <f>+C15*159</f>
        <v>0.23802300000000001</v>
      </c>
      <c r="D16" s="9" t="s">
        <v>64</v>
      </c>
    </row>
    <row r="17" spans="2:20" s="9" customFormat="1">
      <c r="C17" s="41">
        <f>1/C16</f>
        <v>4.2012746667338865</v>
      </c>
      <c r="D17" s="9" t="s">
        <v>65</v>
      </c>
    </row>
    <row r="18" spans="2:20" s="9" customFormat="1">
      <c r="B18" s="18" t="s">
        <v>11</v>
      </c>
      <c r="C18" s="46">
        <v>0.95499999999999996</v>
      </c>
      <c r="F18" s="9" t="s">
        <v>60</v>
      </c>
    </row>
    <row r="19" spans="2:20" s="9" customFormat="1">
      <c r="B19" s="18" t="s">
        <v>12</v>
      </c>
      <c r="C19" s="46">
        <f>1-C18</f>
        <v>4.500000000000004E-2</v>
      </c>
      <c r="F19" s="9" t="s">
        <v>60</v>
      </c>
    </row>
    <row r="20" spans="2:20" s="9" customFormat="1">
      <c r="B20" s="11"/>
      <c r="C20" s="8"/>
    </row>
    <row r="21" spans="2:20" s="9" customFormat="1">
      <c r="B21" s="11"/>
      <c r="C21" s="8"/>
    </row>
    <row r="22" spans="2:20">
      <c r="B22" t="s">
        <v>19</v>
      </c>
      <c r="C22" s="22">
        <v>54.7333</v>
      </c>
      <c r="D22" t="s">
        <v>7</v>
      </c>
      <c r="F22" t="s">
        <v>61</v>
      </c>
    </row>
    <row r="23" spans="2:20">
      <c r="B23" s="9" t="s">
        <v>20</v>
      </c>
      <c r="C23" s="22">
        <f>159*0.588</f>
        <v>93.49199999999999</v>
      </c>
      <c r="D23" s="9" t="s">
        <v>7</v>
      </c>
      <c r="F23" s="9" t="s">
        <v>61</v>
      </c>
    </row>
    <row r="25" spans="2:20">
      <c r="B25" t="s">
        <v>13</v>
      </c>
      <c r="C25" s="51">
        <f>(C18*C15*C22)+C19*C15*C23</f>
        <v>8.4546729925499997E-2</v>
      </c>
      <c r="D25" s="9" t="s">
        <v>4</v>
      </c>
    </row>
    <row r="26" spans="2:20">
      <c r="B26" t="s">
        <v>17</v>
      </c>
      <c r="C26" s="24">
        <f>C11/C9</f>
        <v>0.67867298578199053</v>
      </c>
    </row>
    <row r="27" spans="2:20">
      <c r="B27" t="s">
        <v>18</v>
      </c>
      <c r="C27" s="51">
        <f>C26*C25</f>
        <v>5.7379581636642654E-2</v>
      </c>
      <c r="D27" s="9" t="s">
        <v>4</v>
      </c>
      <c r="O27" s="9"/>
      <c r="P27" s="9"/>
      <c r="Q27" s="9"/>
      <c r="R27" s="9"/>
      <c r="S27" s="9"/>
      <c r="T27" s="9"/>
    </row>
    <row r="28" spans="2:20">
      <c r="O28" s="9"/>
      <c r="P28" s="9"/>
      <c r="Q28" s="9"/>
      <c r="R28" s="9"/>
      <c r="S28" s="9"/>
      <c r="T28" s="9"/>
    </row>
    <row r="29" spans="2:20">
      <c r="C29" s="47"/>
      <c r="O29" s="9"/>
      <c r="P29" s="9"/>
      <c r="Q29" s="9"/>
      <c r="R29" s="9"/>
      <c r="S29" s="9"/>
      <c r="T29" s="9"/>
    </row>
    <row r="30" spans="2:20">
      <c r="O30" s="9"/>
      <c r="P30" s="9"/>
      <c r="Q30" s="9"/>
      <c r="R30" s="9"/>
      <c r="S30" s="9"/>
      <c r="T30" s="9"/>
    </row>
    <row r="31" spans="2:20">
      <c r="O31" s="9"/>
      <c r="P31" s="9"/>
      <c r="Q31" s="9"/>
      <c r="R31" s="9"/>
      <c r="S31" s="9"/>
      <c r="T31" s="9"/>
    </row>
    <row r="32" spans="2:20">
      <c r="O32" s="9"/>
      <c r="P32" s="9"/>
      <c r="Q32" s="9"/>
      <c r="R32" s="9"/>
      <c r="S32" s="9"/>
      <c r="T32" s="9"/>
    </row>
    <row r="33" spans="15:20">
      <c r="O33" s="9"/>
      <c r="P33" s="9"/>
      <c r="Q33" s="9"/>
      <c r="R33" s="9"/>
      <c r="S33" s="9"/>
      <c r="T33" s="9"/>
    </row>
  </sheetData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FFFFCC"/>
  </sheetPr>
  <dimension ref="A1:I39"/>
  <sheetViews>
    <sheetView showGridLines="0" zoomScale="85" zoomScaleNormal="85" workbookViewId="0"/>
  </sheetViews>
  <sheetFormatPr defaultRowHeight="15"/>
  <cols>
    <col min="1" max="1" width="17.42578125" customWidth="1"/>
    <col min="2" max="2" width="70.7109375" customWidth="1"/>
    <col min="3" max="3" width="5.140625" style="9" customWidth="1"/>
    <col min="4" max="4" width="24.140625" style="9" customWidth="1"/>
    <col min="5" max="5" width="13.7109375" style="3" bestFit="1" customWidth="1"/>
    <col min="6" max="6" width="10.7109375" style="3" customWidth="1"/>
    <col min="7" max="7" width="18.7109375" customWidth="1"/>
    <col min="8" max="8" width="12.7109375" bestFit="1" customWidth="1"/>
    <col min="9" max="9" width="11.5703125" bestFit="1" customWidth="1"/>
    <col min="10" max="10" width="10.7109375" bestFit="1" customWidth="1"/>
    <col min="11" max="11" width="11.5703125" bestFit="1" customWidth="1"/>
    <col min="12" max="12" width="10.42578125" customWidth="1"/>
  </cols>
  <sheetData>
    <row r="1" spans="1:7" s="5" customFormat="1" ht="35.25" customHeight="1">
      <c r="A1" s="5" t="s">
        <v>46</v>
      </c>
      <c r="E1" s="26"/>
      <c r="F1" s="26"/>
    </row>
    <row r="2" spans="1:7">
      <c r="B2" s="1"/>
      <c r="C2" s="10"/>
      <c r="D2" s="10"/>
    </row>
    <row r="3" spans="1:7" s="5" customFormat="1" ht="19.5" customHeight="1">
      <c r="B3" s="13" t="s">
        <v>14</v>
      </c>
      <c r="C3" s="13"/>
      <c r="D3" s="13"/>
      <c r="E3" s="26"/>
      <c r="F3" s="26"/>
    </row>
    <row r="4" spans="1:7" s="9" customFormat="1">
      <c r="B4" s="12"/>
      <c r="C4" s="12"/>
      <c r="D4" s="12"/>
      <c r="E4" s="3"/>
      <c r="F4" s="3"/>
    </row>
    <row r="5" spans="1:7" s="9" customFormat="1">
      <c r="B5" s="14" t="s">
        <v>2</v>
      </c>
      <c r="C5" s="14"/>
      <c r="D5" s="14"/>
      <c r="E5" s="27"/>
      <c r="F5" s="3"/>
      <c r="G5" s="25" t="s">
        <v>23</v>
      </c>
    </row>
    <row r="6" spans="1:7" s="9" customFormat="1">
      <c r="B6" s="12" t="s">
        <v>59</v>
      </c>
      <c r="C6" s="12"/>
      <c r="D6" s="12" t="s">
        <v>32</v>
      </c>
      <c r="E6" s="28">
        <v>1524079</v>
      </c>
      <c r="F6" s="3"/>
      <c r="G6" s="9" t="s">
        <v>67</v>
      </c>
    </row>
    <row r="7" spans="1:7" s="9" customFormat="1">
      <c r="B7" s="12" t="s">
        <v>15</v>
      </c>
      <c r="C7" s="12"/>
      <c r="D7" s="12" t="s">
        <v>32</v>
      </c>
      <c r="E7" s="28">
        <v>3166932</v>
      </c>
      <c r="F7" s="3"/>
      <c r="G7" s="9" t="s">
        <v>67</v>
      </c>
    </row>
    <row r="8" spans="1:7" s="9" customFormat="1">
      <c r="B8" s="15" t="s">
        <v>62</v>
      </c>
      <c r="C8" s="12"/>
      <c r="D8" s="12" t="s">
        <v>32</v>
      </c>
      <c r="E8" s="28">
        <f>67000+217000</f>
        <v>284000</v>
      </c>
      <c r="F8" s="3"/>
      <c r="G8" s="9" t="s">
        <v>97</v>
      </c>
    </row>
    <row r="9" spans="1:7" s="9" customFormat="1">
      <c r="B9" s="15" t="s">
        <v>25</v>
      </c>
      <c r="C9" s="16"/>
      <c r="D9" s="12" t="s">
        <v>32</v>
      </c>
      <c r="E9" s="30">
        <f>E6+E7+E8</f>
        <v>4975011</v>
      </c>
      <c r="F9" s="3"/>
    </row>
    <row r="10" spans="1:7" s="2" customFormat="1">
      <c r="B10" s="15"/>
      <c r="C10" s="15"/>
      <c r="D10" s="15"/>
      <c r="E10" s="29"/>
      <c r="F10" s="3"/>
    </row>
    <row r="11" spans="1:7" s="2" customFormat="1">
      <c r="B11" s="16" t="s">
        <v>26</v>
      </c>
      <c r="C11" s="16"/>
      <c r="D11" s="16"/>
      <c r="E11" s="29"/>
      <c r="F11" s="3"/>
    </row>
    <row r="12" spans="1:7" s="9" customFormat="1">
      <c r="B12" s="12" t="s">
        <v>50</v>
      </c>
      <c r="C12" s="12"/>
      <c r="D12" s="12" t="s">
        <v>3</v>
      </c>
      <c r="E12" s="28">
        <v>61734000</v>
      </c>
      <c r="F12" s="3"/>
      <c r="G12" s="9" t="s">
        <v>55</v>
      </c>
    </row>
    <row r="13" spans="1:7" s="9" customFormat="1">
      <c r="B13" s="15" t="s">
        <v>47</v>
      </c>
      <c r="C13" s="12"/>
      <c r="D13" s="12" t="s">
        <v>3</v>
      </c>
      <c r="E13" s="28">
        <f>4641000-3781000</f>
        <v>860000</v>
      </c>
      <c r="F13" s="3"/>
      <c r="G13" s="9" t="s">
        <v>55</v>
      </c>
    </row>
    <row r="14" spans="1:7" s="9" customFormat="1">
      <c r="B14" s="15" t="s">
        <v>48</v>
      </c>
      <c r="C14" s="12"/>
      <c r="D14" s="12" t="s">
        <v>3</v>
      </c>
      <c r="E14" s="30">
        <f>+E12-E13</f>
        <v>60874000</v>
      </c>
      <c r="F14" s="3"/>
    </row>
    <row r="15" spans="1:7" s="9" customFormat="1">
      <c r="B15" s="12" t="s">
        <v>58</v>
      </c>
      <c r="C15" s="12"/>
      <c r="D15" s="12" t="s">
        <v>3</v>
      </c>
      <c r="E15" s="28">
        <v>18696000</v>
      </c>
      <c r="F15" s="3"/>
      <c r="G15" s="9" t="s">
        <v>56</v>
      </c>
    </row>
    <row r="16" spans="1:7" s="9" customFormat="1">
      <c r="B16" s="12" t="s">
        <v>49</v>
      </c>
      <c r="C16" s="12"/>
      <c r="D16" s="12" t="s">
        <v>3</v>
      </c>
      <c r="E16" s="30">
        <f>E14-E15</f>
        <v>42178000</v>
      </c>
      <c r="F16" s="3"/>
    </row>
    <row r="17" spans="2:9" s="9" customFormat="1">
      <c r="B17" s="15" t="s">
        <v>53</v>
      </c>
      <c r="C17" s="12"/>
      <c r="D17" s="15" t="s">
        <v>51</v>
      </c>
      <c r="E17" s="30">
        <v>15</v>
      </c>
      <c r="F17" s="3"/>
      <c r="G17" s="9" t="s">
        <v>57</v>
      </c>
    </row>
    <row r="18" spans="2:9" s="9" customFormat="1">
      <c r="B18" s="12"/>
      <c r="C18" s="12"/>
      <c r="D18" s="12"/>
      <c r="E18" s="3"/>
      <c r="F18" s="3"/>
    </row>
    <row r="19" spans="2:9" s="9" customFormat="1">
      <c r="B19" s="12" t="s">
        <v>54</v>
      </c>
      <c r="C19" s="12"/>
      <c r="D19" s="12" t="s">
        <v>3</v>
      </c>
      <c r="E19" s="30">
        <f>E16/E17</f>
        <v>2811866.6666666665</v>
      </c>
      <c r="F19" s="3"/>
    </row>
    <row r="20" spans="2:9" s="9" customFormat="1">
      <c r="B20" s="12" t="s">
        <v>16</v>
      </c>
      <c r="C20" s="12"/>
      <c r="D20" s="12" t="s">
        <v>3</v>
      </c>
      <c r="E20" s="30">
        <f>E14-(2015-2010 +4.4/12)*E19</f>
        <v>45783648.888888888</v>
      </c>
      <c r="F20" s="3"/>
    </row>
    <row r="21" spans="2:9" s="9" customFormat="1">
      <c r="B21" s="6"/>
      <c r="C21" s="6"/>
      <c r="D21" s="6"/>
      <c r="E21" s="32"/>
      <c r="F21" s="12"/>
    </row>
    <row r="22" spans="2:9" s="5" customFormat="1" ht="19.5" customHeight="1">
      <c r="B22" s="13" t="s">
        <v>31</v>
      </c>
      <c r="C22" s="13"/>
      <c r="D22" s="13"/>
      <c r="E22" s="31"/>
      <c r="F22" s="26"/>
      <c r="G22" s="13"/>
    </row>
    <row r="23" spans="2:9" s="9" customFormat="1">
      <c r="B23" s="12"/>
      <c r="C23" s="12"/>
      <c r="D23" s="12"/>
      <c r="E23" s="29"/>
      <c r="F23" s="3"/>
    </row>
    <row r="24" spans="2:9" s="9" customFormat="1">
      <c r="B24" s="12" t="s">
        <v>16</v>
      </c>
      <c r="C24" s="12"/>
      <c r="D24" s="12" t="s">
        <v>3</v>
      </c>
      <c r="E24" s="30">
        <f>E20</f>
        <v>45783648.888888888</v>
      </c>
      <c r="F24" s="3"/>
    </row>
    <row r="25" spans="2:9" s="9" customFormat="1">
      <c r="B25" s="6" t="s">
        <v>27</v>
      </c>
      <c r="C25" s="6"/>
      <c r="D25" s="6"/>
      <c r="E25" s="33">
        <f>Input!C4</f>
        <v>6.4799999999999996E-2</v>
      </c>
      <c r="F25" s="3"/>
    </row>
    <row r="26" spans="2:9" s="9" customFormat="1">
      <c r="B26" s="12" t="s">
        <v>54</v>
      </c>
      <c r="C26" s="12"/>
      <c r="D26" s="12" t="s">
        <v>32</v>
      </c>
      <c r="E26" s="30">
        <f>E19</f>
        <v>2811866.6666666665</v>
      </c>
      <c r="F26" s="3"/>
    </row>
    <row r="27" spans="2:9" s="9" customFormat="1">
      <c r="B27" s="15" t="s">
        <v>1</v>
      </c>
      <c r="C27" s="15"/>
      <c r="D27" s="12" t="s">
        <v>32</v>
      </c>
      <c r="E27" s="30">
        <f>E24*E25+E26</f>
        <v>5778647.1146666668</v>
      </c>
      <c r="F27" s="3"/>
    </row>
    <row r="28" spans="2:9" s="9" customFormat="1">
      <c r="B28" s="12" t="s">
        <v>6</v>
      </c>
      <c r="C28" s="12"/>
      <c r="D28" s="12" t="s">
        <v>32</v>
      </c>
      <c r="E28" s="35">
        <f>E9</f>
        <v>4975011</v>
      </c>
      <c r="F28" s="3"/>
    </row>
    <row r="29" spans="2:9">
      <c r="B29" s="3"/>
      <c r="C29" s="3"/>
      <c r="D29" s="3"/>
      <c r="E29" s="27"/>
      <c r="G29" s="4"/>
      <c r="H29" s="4"/>
      <c r="I29" s="4"/>
    </row>
    <row r="30" spans="2:9">
      <c r="B30" s="10" t="s">
        <v>31</v>
      </c>
      <c r="C30" s="10"/>
      <c r="D30" s="12" t="s">
        <v>32</v>
      </c>
      <c r="E30" s="34">
        <f>E27+E28</f>
        <v>10753658.114666667</v>
      </c>
    </row>
    <row r="31" spans="2:9">
      <c r="E31" s="27"/>
    </row>
    <row r="32" spans="2:9">
      <c r="E32" s="27"/>
    </row>
    <row r="33" spans="1:7" s="5" customFormat="1" ht="19.5" customHeight="1">
      <c r="B33" s="13" t="s">
        <v>34</v>
      </c>
      <c r="C33" s="13"/>
      <c r="D33" s="13"/>
      <c r="E33" s="31"/>
      <c r="F33" s="26"/>
      <c r="G33" s="13"/>
    </row>
    <row r="34" spans="1:7" s="9" customFormat="1">
      <c r="B34" s="17"/>
      <c r="C34" s="12"/>
      <c r="D34" s="12"/>
      <c r="E34" s="12"/>
      <c r="F34" s="12"/>
      <c r="G34" s="12"/>
    </row>
    <row r="35" spans="1:7" s="9" customFormat="1">
      <c r="A35" s="36"/>
      <c r="B35" s="14" t="s">
        <v>44</v>
      </c>
      <c r="C35" s="12"/>
      <c r="D35" s="12"/>
      <c r="E35" s="29"/>
      <c r="F35" s="3"/>
      <c r="G35" s="25" t="s">
        <v>23</v>
      </c>
    </row>
    <row r="36" spans="1:7" s="9" customFormat="1">
      <c r="A36" s="36"/>
      <c r="B36" s="12" t="s">
        <v>52</v>
      </c>
      <c r="C36" s="12"/>
      <c r="D36" s="12" t="s">
        <v>32</v>
      </c>
      <c r="E36" s="28">
        <v>761144</v>
      </c>
      <c r="F36" s="3"/>
      <c r="G36" s="9" t="s">
        <v>24</v>
      </c>
    </row>
    <row r="39" spans="1:7">
      <c r="A39" s="3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CCFFFF"/>
  </sheetPr>
  <dimension ref="A1:J20"/>
  <sheetViews>
    <sheetView showGridLines="0" zoomScale="85" zoomScaleNormal="85" workbookViewId="0"/>
  </sheetViews>
  <sheetFormatPr defaultRowHeight="15"/>
  <cols>
    <col min="1" max="1" width="4.28515625" customWidth="1"/>
    <col min="2" max="2" width="35.28515625" customWidth="1"/>
    <col min="3" max="3" width="6.5703125" style="9" customWidth="1"/>
    <col min="4" max="4" width="23.28515625" style="9" customWidth="1"/>
    <col min="5" max="5" width="15.5703125" customWidth="1"/>
    <col min="6" max="6" width="16.140625" bestFit="1" customWidth="1"/>
    <col min="7" max="7" width="17.28515625" bestFit="1" customWidth="1"/>
    <col min="8" max="8" width="24" bestFit="1" customWidth="1"/>
    <col min="9" max="9" width="21.7109375" bestFit="1" customWidth="1"/>
    <col min="10" max="10" width="21.5703125" bestFit="1" customWidth="1"/>
  </cols>
  <sheetData>
    <row r="1" spans="1:9" s="5" customFormat="1" ht="35.25" customHeight="1">
      <c r="A1" s="5" t="s">
        <v>96</v>
      </c>
    </row>
    <row r="3" spans="1:9" s="5" customFormat="1" ht="19.5" customHeight="1">
      <c r="B3" s="13" t="s">
        <v>30</v>
      </c>
      <c r="C3" s="13"/>
      <c r="D3" s="13"/>
      <c r="E3" s="31"/>
      <c r="F3" s="26"/>
      <c r="G3" s="13"/>
    </row>
    <row r="4" spans="1:9" s="9" customFormat="1">
      <c r="B4" s="12"/>
      <c r="C4" s="12"/>
      <c r="D4" s="12"/>
      <c r="E4" s="29"/>
      <c r="F4" s="3"/>
    </row>
    <row r="5" spans="1:9" s="9" customFormat="1">
      <c r="B5" s="12" t="s">
        <v>31</v>
      </c>
      <c r="C5" s="12"/>
      <c r="D5" s="12" t="s">
        <v>32</v>
      </c>
      <c r="E5" s="35">
        <f>Costs!E30</f>
        <v>10753658.114666667</v>
      </c>
      <c r="F5" s="3"/>
    </row>
    <row r="6" spans="1:9" s="9" customFormat="1">
      <c r="B6" s="12" t="s">
        <v>35</v>
      </c>
      <c r="C6" s="12"/>
      <c r="D6" s="12" t="s">
        <v>32</v>
      </c>
      <c r="E6" s="30">
        <f>Costs!E36</f>
        <v>761144</v>
      </c>
      <c r="F6" s="3"/>
    </row>
    <row r="7" spans="1:9" s="9" customFormat="1">
      <c r="B7" s="15" t="s">
        <v>66</v>
      </c>
      <c r="C7" s="12"/>
      <c r="D7" s="12" t="s">
        <v>32</v>
      </c>
      <c r="E7" s="30">
        <f>E5+E6</f>
        <v>11514802.114666667</v>
      </c>
      <c r="F7" s="3"/>
    </row>
    <row r="8" spans="1:9" s="9" customFormat="1">
      <c r="B8" s="12"/>
      <c r="C8" s="12"/>
      <c r="D8" s="12"/>
      <c r="E8" s="12"/>
      <c r="F8" s="3"/>
    </row>
    <row r="9" spans="1:9" s="9" customFormat="1">
      <c r="B9" s="9" t="s">
        <v>28</v>
      </c>
      <c r="C9" s="3"/>
      <c r="D9" s="3" t="s">
        <v>0</v>
      </c>
      <c r="E9" s="37">
        <f>Input!C5</f>
        <v>-8.9999999999999993E-3</v>
      </c>
      <c r="F9" s="3"/>
      <c r="H9" s="4"/>
      <c r="I9" s="4"/>
    </row>
    <row r="10" spans="1:9" s="9" customFormat="1">
      <c r="B10" s="9" t="s">
        <v>29</v>
      </c>
      <c r="D10" s="9" t="s">
        <v>0</v>
      </c>
      <c r="E10" s="37">
        <f>Input!C6</f>
        <v>6.0000000000000001E-3</v>
      </c>
      <c r="F10" s="3"/>
    </row>
    <row r="11" spans="1:9" s="9" customFormat="1">
      <c r="B11" s="9" t="s">
        <v>36</v>
      </c>
      <c r="D11" s="12" t="s">
        <v>33</v>
      </c>
      <c r="E11" s="38">
        <f>E7*(1+E9)*(1+E10)</f>
        <v>11479635.909008475</v>
      </c>
    </row>
    <row r="12" spans="1:9" s="9" customFormat="1"/>
    <row r="13" spans="1:9" s="5" customFormat="1" ht="19.5" customHeight="1">
      <c r="B13" s="13" t="s">
        <v>37</v>
      </c>
      <c r="C13" s="13"/>
      <c r="D13" s="13"/>
      <c r="E13" s="31"/>
      <c r="F13" s="26"/>
      <c r="G13" s="13"/>
    </row>
    <row r="14" spans="1:9" s="9" customFormat="1">
      <c r="B14" s="10"/>
      <c r="C14" s="10"/>
      <c r="D14" s="10"/>
    </row>
    <row r="15" spans="1:9">
      <c r="B15" s="6" t="s">
        <v>43</v>
      </c>
      <c r="C15" s="6"/>
      <c r="D15" s="6" t="s">
        <v>38</v>
      </c>
      <c r="E15" s="39">
        <f>Input!C9</f>
        <v>105500000</v>
      </c>
      <c r="F15" s="6"/>
    </row>
    <row r="16" spans="1:9">
      <c r="B16" s="6" t="s">
        <v>42</v>
      </c>
      <c r="C16" s="6"/>
      <c r="D16" s="6" t="s">
        <v>4</v>
      </c>
      <c r="E16" s="42">
        <f>E11/E15</f>
        <v>0.10881171477733152</v>
      </c>
      <c r="F16" s="6"/>
    </row>
    <row r="17" spans="2:10" s="9" customFormat="1">
      <c r="B17" s="6"/>
      <c r="C17" s="6"/>
      <c r="D17" s="6"/>
      <c r="E17" s="43"/>
      <c r="F17" s="6"/>
    </row>
    <row r="18" spans="2:10">
      <c r="B18" s="6" t="s">
        <v>41</v>
      </c>
      <c r="C18" s="6"/>
      <c r="D18" s="6" t="s">
        <v>4</v>
      </c>
      <c r="E18" s="44">
        <f>Input!C27</f>
        <v>5.7379581636642654E-2</v>
      </c>
      <c r="F18" s="6"/>
      <c r="H18" s="6"/>
      <c r="I18" s="7"/>
      <c r="J18" s="6"/>
    </row>
    <row r="19" spans="2:10">
      <c r="B19" s="14" t="s">
        <v>40</v>
      </c>
      <c r="C19" s="12"/>
      <c r="D19" s="6" t="s">
        <v>4</v>
      </c>
      <c r="E19" s="45">
        <f>E16+E18</f>
        <v>0.16619129641397418</v>
      </c>
      <c r="F19" s="6"/>
      <c r="H19" s="6"/>
      <c r="I19" s="7"/>
      <c r="J19" s="6"/>
    </row>
    <row r="20" spans="2:10">
      <c r="E20" s="2"/>
      <c r="F20" s="6"/>
      <c r="I20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H31"/>
  <sheetViews>
    <sheetView showGridLines="0" zoomScale="85" zoomScaleNormal="85" workbookViewId="0"/>
  </sheetViews>
  <sheetFormatPr defaultRowHeight="15"/>
  <cols>
    <col min="1" max="1" width="6.140625" style="9" customWidth="1"/>
    <col min="2" max="2" width="45" style="9" customWidth="1"/>
    <col min="3" max="3" width="9.140625" style="9"/>
    <col min="4" max="6" width="17.7109375" style="9" customWidth="1"/>
    <col min="7" max="16384" width="9.140625" style="9"/>
  </cols>
  <sheetData>
    <row r="1" spans="2:7" s="5" customFormat="1" ht="35.25" customHeight="1">
      <c r="B1" s="5" t="s">
        <v>90</v>
      </c>
    </row>
    <row r="3" spans="2:7">
      <c r="B3" s="9" t="s">
        <v>89</v>
      </c>
    </row>
    <row r="4" spans="2:7">
      <c r="B4" s="9" t="s">
        <v>88</v>
      </c>
    </row>
    <row r="5" spans="2:7">
      <c r="B5" s="9" t="s">
        <v>87</v>
      </c>
    </row>
    <row r="6" spans="2:7">
      <c r="B6" s="9" t="s">
        <v>86</v>
      </c>
    </row>
    <row r="7" spans="2:7">
      <c r="B7" s="9" t="s">
        <v>85</v>
      </c>
    </row>
    <row r="9" spans="2:7">
      <c r="B9" s="25" t="s">
        <v>93</v>
      </c>
    </row>
    <row r="11" spans="2:7" s="5" customFormat="1" ht="19.5" customHeight="1">
      <c r="B11" s="13" t="s">
        <v>84</v>
      </c>
      <c r="C11" s="13"/>
      <c r="D11" s="13"/>
      <c r="E11" s="31"/>
      <c r="F11" s="26"/>
      <c r="G11" s="13"/>
    </row>
    <row r="13" spans="2:7">
      <c r="B13" s="9" t="s">
        <v>83</v>
      </c>
    </row>
    <row r="14" spans="2:7">
      <c r="B14" s="9" t="s">
        <v>82</v>
      </c>
    </row>
    <row r="15" spans="2:7">
      <c r="D15" s="9" t="s">
        <v>81</v>
      </c>
      <c r="E15" s="9" t="s">
        <v>80</v>
      </c>
      <c r="F15" s="9" t="s">
        <v>79</v>
      </c>
    </row>
    <row r="16" spans="2:7">
      <c r="B16" s="9" t="s">
        <v>78</v>
      </c>
      <c r="C16" s="9" t="s">
        <v>75</v>
      </c>
      <c r="D16" s="19">
        <v>112.08</v>
      </c>
      <c r="E16" s="19">
        <v>122.09</v>
      </c>
      <c r="F16" s="19">
        <v>114.72</v>
      </c>
    </row>
    <row r="17" spans="2:8">
      <c r="B17" s="9" t="s">
        <v>77</v>
      </c>
      <c r="C17" s="9" t="s">
        <v>75</v>
      </c>
      <c r="D17" s="19">
        <v>111.04</v>
      </c>
      <c r="E17" s="19">
        <v>121.51</v>
      </c>
      <c r="F17" s="19">
        <v>114.24</v>
      </c>
    </row>
    <row r="18" spans="2:8">
      <c r="B18" s="9" t="s">
        <v>76</v>
      </c>
      <c r="C18" s="9" t="s">
        <v>75</v>
      </c>
      <c r="D18" s="19">
        <v>111.75</v>
      </c>
      <c r="E18" s="19">
        <v>120.31</v>
      </c>
      <c r="F18" s="19">
        <v>114.51</v>
      </c>
      <c r="H18" s="9" t="s">
        <v>94</v>
      </c>
    </row>
    <row r="20" spans="2:8">
      <c r="B20" s="9" t="s">
        <v>74</v>
      </c>
    </row>
    <row r="21" spans="2:8">
      <c r="B21" s="50" t="s">
        <v>73</v>
      </c>
    </row>
    <row r="23" spans="2:8" s="5" customFormat="1" ht="19.5" customHeight="1">
      <c r="B23" s="13" t="s">
        <v>72</v>
      </c>
      <c r="C23" s="13"/>
      <c r="D23" s="13"/>
      <c r="E23" s="31"/>
      <c r="F23" s="26"/>
      <c r="G23" s="13"/>
    </row>
    <row r="25" spans="2:8">
      <c r="B25" s="9" t="s">
        <v>71</v>
      </c>
      <c r="C25" s="9" t="s">
        <v>0</v>
      </c>
      <c r="D25" s="49">
        <f t="shared" ref="D25:F26" si="0">D17/D16-1</f>
        <v>-9.2790863668806844E-3</v>
      </c>
      <c r="E25" s="49">
        <f t="shared" si="0"/>
        <v>-4.7505938242280443E-3</v>
      </c>
      <c r="F25" s="49">
        <f t="shared" si="0"/>
        <v>-4.1841004184101083E-3</v>
      </c>
    </row>
    <row r="26" spans="2:8">
      <c r="B26" s="9" t="s">
        <v>92</v>
      </c>
      <c r="C26" s="9" t="s">
        <v>0</v>
      </c>
      <c r="D26" s="49">
        <f t="shared" si="0"/>
        <v>6.3940922190202087E-3</v>
      </c>
      <c r="E26" s="49">
        <f t="shared" si="0"/>
        <v>-9.8757303925602891E-3</v>
      </c>
      <c r="F26" s="49">
        <f t="shared" si="0"/>
        <v>2.3634453781513631E-3</v>
      </c>
    </row>
    <row r="29" spans="2:8">
      <c r="B29" s="9" t="s">
        <v>70</v>
      </c>
    </row>
    <row r="30" spans="2:8">
      <c r="B30" s="9" t="s">
        <v>69</v>
      </c>
      <c r="C30" s="9" t="s">
        <v>0</v>
      </c>
      <c r="D30" s="48">
        <f t="shared" ref="D30:F31" si="1">ROUND(D25,3)</f>
        <v>-8.9999999999999993E-3</v>
      </c>
      <c r="E30" s="48">
        <f t="shared" si="1"/>
        <v>-5.0000000000000001E-3</v>
      </c>
      <c r="F30" s="48">
        <f t="shared" si="1"/>
        <v>-4.0000000000000001E-3</v>
      </c>
    </row>
    <row r="31" spans="2:8">
      <c r="B31" s="9" t="s">
        <v>68</v>
      </c>
      <c r="C31" s="9" t="s">
        <v>0</v>
      </c>
      <c r="D31" s="48">
        <f t="shared" si="1"/>
        <v>6.0000000000000001E-3</v>
      </c>
      <c r="E31" s="48">
        <f t="shared" si="1"/>
        <v>-0.01</v>
      </c>
      <c r="F31" s="48">
        <f t="shared" si="1"/>
        <v>2E-3</v>
      </c>
    </row>
  </sheetData>
  <hyperlinks>
    <hyperlink ref="B21" r:id="rId1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ocument xmlns="4e7e7126-2040-4c98-98e5-fda1fcd9258c">
      <Value>Regulering</Value>
    </Type_x0020_document>
    <Status xmlns="4e7e7126-2040-4c98-98e5-fda1fcd9258c">Actueel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8D7640ACCFC42A267A6095A89BF7F" ma:contentTypeVersion="2" ma:contentTypeDescription="Een nieuw document maken." ma:contentTypeScope="" ma:versionID="496d12a529ebcca8d49c7778b31b6a91">
  <xsd:schema xmlns:xsd="http://www.w3.org/2001/XMLSchema" xmlns:xs="http://www.w3.org/2001/XMLSchema" xmlns:p="http://schemas.microsoft.com/office/2006/metadata/properties" xmlns:ns2="4e7e7126-2040-4c98-98e5-fda1fcd9258c" targetNamespace="http://schemas.microsoft.com/office/2006/metadata/properties" ma:root="true" ma:fieldsID="680c8a1675dd199a02146539639cc0a2" ns2:_="">
    <xsd:import namespace="4e7e7126-2040-4c98-98e5-fda1fcd9258c"/>
    <xsd:element name="properties">
      <xsd:complexType>
        <xsd:sequence>
          <xsd:element name="documentManagement">
            <xsd:complexType>
              <xsd:all>
                <xsd:element ref="ns2:Type_x0020_documen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7126-2040-4c98-98e5-fda1fcd9258c" elementFormDefault="qualified">
    <xsd:import namespace="http://schemas.microsoft.com/office/2006/documentManagement/types"/>
    <xsd:import namespace="http://schemas.microsoft.com/office/infopath/2007/PartnerControls"/>
    <xsd:element name="Type_x0020_document" ma:index="8" nillable="true" ma:displayName="Type document" ma:default="Projectdocumenten" ma:internalName="Type_x0020_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jectdocumenten"/>
                    <xsd:enumeration value="CN-team Den Haag"/>
                    <xsd:enumeration value="Juridisch"/>
                    <xsd:enumeration value="Regulering"/>
                    <xsd:enumeration value="Communicatie"/>
                    <xsd:enumeration value="EZ"/>
                    <xsd:enumeration value="Financiën"/>
                    <xsd:enumeration value="Bedrijfsvoering"/>
                    <xsd:enumeration value="Caribisch Nederland"/>
                    <xsd:enumeration value="Verslagen"/>
                  </xsd:restriction>
                </xsd:simpleType>
              </xsd:element>
            </xsd:sequence>
          </xsd:extension>
        </xsd:complexContent>
      </xsd:complexType>
    </xsd:element>
    <xsd:element name="Status" ma:index="9" nillable="true" ma:displayName="Status" ma:default="Actueel" ma:format="RadioButtons" ma:indexed="true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76389D-BBD9-4A98-99F2-F0E906157434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4e7e7126-2040-4c98-98e5-fda1fcd9258c"/>
  </ds:schemaRefs>
</ds:datastoreItem>
</file>

<file path=customXml/itemProps2.xml><?xml version="1.0" encoding="utf-8"?>
<ds:datastoreItem xmlns:ds="http://schemas.openxmlformats.org/officeDocument/2006/customXml" ds:itemID="{96E70875-429D-4FFD-9243-A7C5F7E7F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e7126-2040-4c98-98e5-fda1fcd92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5A03D4-1022-453E-91AA-75F6245C18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Explanation</vt:lpstr>
      <vt:lpstr>Input</vt:lpstr>
      <vt:lpstr>Costs</vt:lpstr>
      <vt:lpstr>Calculation production price</vt:lpstr>
      <vt:lpstr>CPI CN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productieprijs elektriciteit ContourGlobal 2017</dc:title>
  <dc:creator>Autoriteit Consument &amp; Markt (ACM)</dc:creator>
  <cp:lastModifiedBy>Hoogdorp, Sergio</cp:lastModifiedBy>
  <cp:lastPrinted>2016-12-13T08:36:43Z</cp:lastPrinted>
  <dcterms:created xsi:type="dcterms:W3CDTF">2016-07-29T17:04:11Z</dcterms:created>
  <dcterms:modified xsi:type="dcterms:W3CDTF">2016-12-21T09:13:01Z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0x0101001E88D7640ACCFC42A267A6095A89BF7F</vt:lpwstr>
  </property>
</Properties>
</file>